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4 Budget/Revised/"/>
    </mc:Choice>
  </mc:AlternateContent>
  <xr:revisionPtr revIDLastSave="365" documentId="13_ncr:1_{128E6605-50FA-406A-B2F4-C70C9EACF584}" xr6:coauthVersionLast="47" xr6:coauthVersionMax="47" xr10:uidLastSave="{AF2D5A28-20A1-473D-9133-CAD41858EB14}"/>
  <workbookProtection workbookAlgorithmName="SHA-512" workbookHashValue="UL8NifVzDg11QMlF0ll7YJar4/y1qkjNjoCli6iN507GB1CeHbv/jLicAZeEyY2Fc9/rSB1PRwPY6IlSeQcRQA==" workbookSaltValue="qpmKISd9t0agNyJHlGYl9A==" workbookSpinCount="100000" lockStructure="1"/>
  <bookViews>
    <workbookView xWindow="29520" yWindow="1110" windowWidth="26955" windowHeight="14400" tabRatio="690" activeTab="3"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3" l="1"/>
  <c r="G8" i="2"/>
  <c r="F8" i="2"/>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3" i="9" a="1"/>
  <c r="J13" i="9" s="1"/>
  <c r="J12" i="9" a="1"/>
  <c r="J12" i="9" s="1"/>
  <c r="L12" i="9" s="1"/>
  <c r="J11" i="9" a="1"/>
  <c r="J11" i="9" s="1"/>
  <c r="L11" i="9" s="1"/>
  <c r="J10" i="9" a="1"/>
  <c r="J10" i="9" s="1"/>
  <c r="L10" i="9" s="1"/>
  <c r="J9" i="9" a="1"/>
  <c r="J9" i="9" s="1"/>
  <c r="L9" i="9" s="1"/>
  <c r="J8" i="9" a="1"/>
  <c r="J8" i="9" s="1"/>
  <c r="D34" i="3"/>
  <c r="D31" i="3"/>
  <c r="M5" i="3"/>
  <c r="M45" i="3" a="1"/>
  <c r="M45" i="3" s="1"/>
  <c r="D40" i="3" a="1"/>
  <c r="D40" i="3" s="1"/>
  <c r="M44" i="3" a="1"/>
  <c r="M44" i="3" s="1"/>
  <c r="M43" i="3" a="1"/>
  <c r="M43" i="3" s="1"/>
  <c r="M14" i="3" a="1"/>
  <c r="M14"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M47" i="2" s="1"/>
  <c r="K46" i="2"/>
  <c r="J28" i="12" s="1"/>
  <c r="L28" i="12" s="1"/>
  <c r="K45" i="2"/>
  <c r="J27" i="12" s="1"/>
  <c r="K44" i="2"/>
  <c r="J26" i="12" s="1"/>
  <c r="K42" i="2"/>
  <c r="D40" i="12" s="1"/>
  <c r="K41" i="2"/>
  <c r="D39" i="12" s="1"/>
  <c r="F39" i="12" s="1"/>
  <c r="K40" i="2"/>
  <c r="M40" i="2" s="1"/>
  <c r="K39" i="2"/>
  <c r="D37" i="12" s="1"/>
  <c r="K36" i="2"/>
  <c r="D34" i="12" s="1"/>
  <c r="F34" i="12" s="1"/>
  <c r="K35" i="2"/>
  <c r="D33" i="12" s="1"/>
  <c r="F33" i="12" s="1"/>
  <c r="K34" i="2"/>
  <c r="M34" i="2" s="1"/>
  <c r="K33" i="2"/>
  <c r="M33" i="2" s="1"/>
  <c r="K32" i="2"/>
  <c r="M32" i="2" s="1"/>
  <c r="K31" i="2"/>
  <c r="D29" i="12" s="1"/>
  <c r="F29" i="12" s="1"/>
  <c r="K30" i="2"/>
  <c r="M30" i="2" s="1"/>
  <c r="K29" i="2"/>
  <c r="M29" i="2" s="1"/>
  <c r="K28" i="2"/>
  <c r="D26" i="12" s="1"/>
  <c r="K27" i="2"/>
  <c r="D25" i="12" s="1"/>
  <c r="K25" i="2"/>
  <c r="K22" i="2"/>
  <c r="D20" i="12" s="1"/>
  <c r="K21" i="2"/>
  <c r="M21" i="2" s="1"/>
  <c r="K20" i="2"/>
  <c r="M20" i="2" s="1"/>
  <c r="K19" i="2"/>
  <c r="D17" i="12" s="1"/>
  <c r="F17" i="12" s="1"/>
  <c r="K18" i="2"/>
  <c r="M18" i="2" s="1"/>
  <c r="K17" i="2"/>
  <c r="D15" i="12" s="1"/>
  <c r="K16" i="2"/>
  <c r="D14" i="12" s="1"/>
  <c r="F14" i="12" s="1"/>
  <c r="K15" i="2"/>
  <c r="K14" i="2"/>
  <c r="D12" i="12" s="1"/>
  <c r="K13" i="2"/>
  <c r="K12" i="2"/>
  <c r="D10" i="12" s="1"/>
  <c r="K11" i="2"/>
  <c r="D9" i="12" s="1"/>
  <c r="K10" i="2"/>
  <c r="K8" i="2"/>
  <c r="R6" i="1"/>
  <c r="C68" i="21"/>
  <c r="C66" i="21"/>
  <c r="E58" i="21"/>
  <c r="H55" i="21"/>
  <c r="H54" i="2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6" i="21" s="1"/>
  <c r="G68" i="21" s="1"/>
  <c r="D9" i="21"/>
  <c r="C9" i="21"/>
  <c r="B9" i="21"/>
  <c r="E66" i="21" s="1"/>
  <c r="H8" i="21"/>
  <c r="G8" i="21"/>
  <c r="F8" i="21"/>
  <c r="E8" i="21"/>
  <c r="B8" i="21"/>
  <c r="A3" i="21"/>
  <c r="A60" i="21" s="1"/>
  <c r="I1" i="21"/>
  <c r="E1" i="21"/>
  <c r="B1" i="21"/>
  <c r="N98" i="16"/>
  <c r="N89" i="16"/>
  <c r="F75" i="16"/>
  <c r="N74" i="16" s="1"/>
  <c r="G74" i="16"/>
  <c r="F74" i="16"/>
  <c r="G73" i="16"/>
  <c r="F73" i="16"/>
  <c r="G72" i="16"/>
  <c r="G75" i="16" s="1"/>
  <c r="N75" i="16" s="1"/>
  <c r="F72" i="16"/>
  <c r="N50" i="16"/>
  <c r="L50" i="16"/>
  <c r="N48" i="16"/>
  <c r="L48" i="16"/>
  <c r="N46" i="16"/>
  <c r="L46" i="16"/>
  <c r="N45" i="16"/>
  <c r="L45" i="16"/>
  <c r="N42" i="16"/>
  <c r="L42" i="16"/>
  <c r="N40" i="16"/>
  <c r="L40" i="16"/>
  <c r="N38" i="16"/>
  <c r="L38" i="16"/>
  <c r="N37" i="16"/>
  <c r="L37" i="16"/>
  <c r="N20" i="16"/>
  <c r="N25" i="16" s="1"/>
  <c r="N12" i="16"/>
  <c r="N13" i="16" s="1"/>
  <c r="L1" i="16"/>
  <c r="I1" i="16"/>
  <c r="E1" i="16"/>
  <c r="K54" i="18"/>
  <c r="J54" i="18"/>
  <c r="I54" i="18"/>
  <c r="L29" i="18"/>
  <c r="I29" i="18"/>
  <c r="G29" i="18"/>
  <c r="L20" i="18"/>
  <c r="I20" i="18"/>
  <c r="L20" i="16" s="1"/>
  <c r="G20" i="18"/>
  <c r="J10" i="18"/>
  <c r="J9" i="18"/>
  <c r="J8" i="18"/>
  <c r="A6" i="18"/>
  <c r="N58" i="16" s="1"/>
  <c r="P1" i="18"/>
  <c r="L1" i="18"/>
  <c r="E1" i="18"/>
  <c r="H41" i="12"/>
  <c r="L39" i="12"/>
  <c r="E39" i="12"/>
  <c r="L38" i="12"/>
  <c r="E38" i="12"/>
  <c r="L37" i="12"/>
  <c r="M35" i="12" s="1"/>
  <c r="E33" i="12"/>
  <c r="E32" i="12"/>
  <c r="E31" i="12"/>
  <c r="E30" i="12"/>
  <c r="K29" i="12"/>
  <c r="E29" i="12"/>
  <c r="K28" i="12"/>
  <c r="E28" i="12"/>
  <c r="E27" i="12"/>
  <c r="E19" i="12"/>
  <c r="L18" i="12"/>
  <c r="E18" i="12"/>
  <c r="L17" i="12"/>
  <c r="E17" i="12"/>
  <c r="L16" i="12"/>
  <c r="L15" i="12"/>
  <c r="L14" i="12"/>
  <c r="L13"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K12" i="9"/>
  <c r="K11" i="9"/>
  <c r="K10" i="9"/>
  <c r="K9" i="9"/>
  <c r="K8" i="9"/>
  <c r="L1" i="9"/>
  <c r="G1" i="9"/>
  <c r="D1" i="9"/>
  <c r="E46" i="3"/>
  <c r="K32" i="12" s="1"/>
  <c r="E36" i="3"/>
  <c r="K31" i="12" s="1"/>
  <c r="N25" i="3"/>
  <c r="L45" i="2" s="1"/>
  <c r="K27" i="12" s="1"/>
  <c r="E22" i="3"/>
  <c r="N1" i="3"/>
  <c r="I1" i="3"/>
  <c r="C1" i="3"/>
  <c r="L47" i="2"/>
  <c r="J47" i="2"/>
  <c r="I47" i="2"/>
  <c r="H47" i="2"/>
  <c r="G47" i="2"/>
  <c r="F47" i="2"/>
  <c r="L46" i="2"/>
  <c r="J46" i="2"/>
  <c r="I46" i="2"/>
  <c r="H46" i="2"/>
  <c r="G46" i="2"/>
  <c r="F46" i="2"/>
  <c r="I44" i="2"/>
  <c r="H44" i="2"/>
  <c r="L42" i="2"/>
  <c r="E40" i="12" s="1"/>
  <c r="L41" i="2"/>
  <c r="L40" i="2"/>
  <c r="L39" i="2"/>
  <c r="E37" i="12" s="1"/>
  <c r="J37" i="2"/>
  <c r="I37" i="2"/>
  <c r="H37" i="2"/>
  <c r="G37" i="2"/>
  <c r="F37" i="2"/>
  <c r="L36" i="2"/>
  <c r="E34" i="12" s="1"/>
  <c r="L35" i="2"/>
  <c r="L34" i="2"/>
  <c r="L33" i="2"/>
  <c r="L32" i="2"/>
  <c r="L31" i="2"/>
  <c r="L30" i="2"/>
  <c r="L29" i="2"/>
  <c r="L28" i="2"/>
  <c r="E26" i="12" s="1"/>
  <c r="L27" i="2"/>
  <c r="E25" i="12" s="1"/>
  <c r="L25" i="2"/>
  <c r="E23" i="12" s="1"/>
  <c r="J23" i="2"/>
  <c r="J43" i="2" s="1"/>
  <c r="J49" i="2" s="1"/>
  <c r="I23" i="2"/>
  <c r="H23" i="2"/>
  <c r="G23" i="2"/>
  <c r="F23" i="2"/>
  <c r="L22" i="2"/>
  <c r="E20" i="12" s="1"/>
  <c r="L21" i="2"/>
  <c r="L20" i="2"/>
  <c r="L19" i="2"/>
  <c r="L18" i="2"/>
  <c r="E16" i="12" s="1"/>
  <c r="L17" i="2"/>
  <c r="E15" i="12" s="1"/>
  <c r="L16" i="2"/>
  <c r="E14" i="12" s="1"/>
  <c r="L15" i="2"/>
  <c r="E13" i="12" s="1"/>
  <c r="L14" i="2"/>
  <c r="E12" i="12" s="1"/>
  <c r="L13" i="2"/>
  <c r="E11" i="12" s="1"/>
  <c r="L12" i="2"/>
  <c r="E10" i="12" s="1"/>
  <c r="L11" i="2"/>
  <c r="E9" i="12" s="1"/>
  <c r="L10" i="2"/>
  <c r="E8" i="12" s="1"/>
  <c r="L8" i="2"/>
  <c r="M1" i="2"/>
  <c r="I1" i="2"/>
  <c r="D1" i="2"/>
  <c r="H1" i="14"/>
  <c r="F1" i="14"/>
  <c r="B1" i="14"/>
  <c r="R34" i="1"/>
  <c r="R35" i="1" s="1"/>
  <c r="L40" i="12" s="1"/>
  <c r="S32" i="1"/>
  <c r="L30" i="1"/>
  <c r="L25" i="1"/>
  <c r="I22" i="1"/>
  <c r="I21" i="1"/>
  <c r="I20" i="1"/>
  <c r="R13" i="1"/>
  <c r="L5" i="1"/>
  <c r="L4" i="1"/>
  <c r="K13" i="9" l="1"/>
  <c r="D28" i="12"/>
  <c r="F28" i="12" s="1"/>
  <c r="D31" i="12"/>
  <c r="F31" i="12" s="1"/>
  <c r="M14" i="2"/>
  <c r="M36" i="2"/>
  <c r="E6" i="12"/>
  <c r="E21" i="12" s="1"/>
  <c r="N30" i="3"/>
  <c r="L27" i="12"/>
  <c r="E37" i="3"/>
  <c r="L48" i="2" s="1"/>
  <c r="M48" i="2" s="1"/>
  <c r="K30" i="12"/>
  <c r="L8" i="9"/>
  <c r="F44" i="2"/>
  <c r="L44" i="2" s="1"/>
  <c r="F20" i="12"/>
  <c r="M22" i="2"/>
  <c r="F40" i="12"/>
  <c r="F26" i="12"/>
  <c r="F25" i="12"/>
  <c r="I43" i="2"/>
  <c r="I49" i="2" s="1"/>
  <c r="G43" i="2"/>
  <c r="G49" i="2" s="1"/>
  <c r="L37" i="2"/>
  <c r="F15" i="12"/>
  <c r="F37" i="12"/>
  <c r="M15" i="2"/>
  <c r="F12" i="12"/>
  <c r="M13" i="2"/>
  <c r="F10" i="12"/>
  <c r="F9" i="12"/>
  <c r="M11" i="2"/>
  <c r="M10" i="2"/>
  <c r="L23" i="2"/>
  <c r="H43" i="2"/>
  <c r="H49" i="2" s="1"/>
  <c r="M8" i="2"/>
  <c r="D16" i="12"/>
  <c r="F16" i="12" s="1"/>
  <c r="M17" i="2"/>
  <c r="H69" i="21"/>
  <c r="B11" i="21"/>
  <c r="D12" i="21" s="1"/>
  <c r="L12" i="16"/>
  <c r="L13" i="16" s="1"/>
  <c r="L15" i="16" s="1"/>
  <c r="L17" i="16" s="1"/>
  <c r="L57" i="16" s="1"/>
  <c r="N21" i="16"/>
  <c r="N23" i="16"/>
  <c r="N15" i="16"/>
  <c r="N17" i="16" s="1"/>
  <c r="N57" i="16" s="1"/>
  <c r="L21" i="16"/>
  <c r="L23" i="16"/>
  <c r="L25" i="16"/>
  <c r="E68" i="21"/>
  <c r="H73" i="21" s="1"/>
  <c r="C77" i="21" s="1"/>
  <c r="B32" i="21"/>
  <c r="D33" i="21" s="1"/>
  <c r="C44" i="21"/>
  <c r="F34" i="21"/>
  <c r="H35" i="21"/>
  <c r="L58" i="16"/>
  <c r="D38" i="12"/>
  <c r="F38" i="12" s="1"/>
  <c r="M39" i="2"/>
  <c r="D46" i="3"/>
  <c r="J32" i="12" s="1"/>
  <c r="L32" i="12" s="1"/>
  <c r="M19" i="2"/>
  <c r="D36" i="3"/>
  <c r="J31" i="12" s="1"/>
  <c r="L31" i="12" s="1"/>
  <c r="D6" i="12"/>
  <c r="A36" i="21"/>
  <c r="D11" i="12"/>
  <c r="F11" i="12" s="1"/>
  <c r="D30" i="12"/>
  <c r="F30" i="12" s="1"/>
  <c r="M41" i="2"/>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D8" i="12"/>
  <c r="F8" i="12" s="1"/>
  <c r="M12" i="3"/>
  <c r="K37" i="2"/>
  <c r="M45" i="2"/>
  <c r="M12" i="2"/>
  <c r="M27" i="2"/>
  <c r="M35" i="2"/>
  <c r="D27" i="12"/>
  <c r="F27" i="12" s="1"/>
  <c r="M42" i="2"/>
  <c r="K12" i="12"/>
  <c r="M25" i="2"/>
  <c r="M46" i="2"/>
  <c r="D23" i="12"/>
  <c r="M16" i="2"/>
  <c r="M31" i="2"/>
  <c r="K23" i="2"/>
  <c r="E35" i="12"/>
  <c r="F43" i="2"/>
  <c r="N5" i="3" l="1"/>
  <c r="F6" i="12"/>
  <c r="L30" i="12"/>
  <c r="M44" i="2"/>
  <c r="K26" i="12"/>
  <c r="L26" i="12" s="1"/>
  <c r="M37" i="2"/>
  <c r="E41" i="12"/>
  <c r="E10" i="21"/>
  <c r="N59" i="16"/>
  <c r="E9" i="21"/>
  <c r="L59" i="16"/>
  <c r="D21" i="12"/>
  <c r="F21" i="12" s="1"/>
  <c r="M43" i="11"/>
  <c r="O43" i="11" s="1"/>
  <c r="D37" i="3"/>
  <c r="M23" i="2"/>
  <c r="K43" i="2"/>
  <c r="D35" i="12"/>
  <c r="F35" i="12" s="1"/>
  <c r="F23" i="12"/>
  <c r="K19" i="12"/>
  <c r="F49" i="2"/>
  <c r="L43" i="2"/>
  <c r="L12" i="12" l="1"/>
  <c r="N12" i="3"/>
  <c r="P12" i="3"/>
  <c r="F10" i="21"/>
  <c r="H10" i="21"/>
  <c r="G10" i="21"/>
  <c r="E47" i="21"/>
  <c r="E43" i="21"/>
  <c r="G43" i="21"/>
  <c r="F13" i="21"/>
  <c r="G13" i="21"/>
  <c r="H51" i="21"/>
  <c r="C58" i="21" s="1"/>
  <c r="H58" i="21" s="1"/>
  <c r="C76" i="21" s="1"/>
  <c r="C78" i="21" s="1"/>
  <c r="H79" i="21" s="1"/>
  <c r="H82" i="21" s="1"/>
  <c r="H49" i="21"/>
  <c r="C51" i="21" s="1"/>
  <c r="G47" i="21"/>
  <c r="F9" i="21"/>
  <c r="G45" i="21"/>
  <c r="C43" i="21"/>
  <c r="H13" i="21"/>
  <c r="C45" i="21"/>
  <c r="H14" i="21"/>
  <c r="E45" i="21"/>
  <c r="H9" i="21"/>
  <c r="G9" i="21"/>
  <c r="C47" i="21"/>
  <c r="D41" i="12"/>
  <c r="F41" i="12" s="1"/>
  <c r="M43" i="2"/>
  <c r="J25" i="12"/>
  <c r="K49" i="2"/>
  <c r="K25" i="12"/>
  <c r="K33" i="12" s="1"/>
  <c r="L49" i="2"/>
  <c r="L19" i="12" l="1"/>
  <c r="M19" i="12" s="1"/>
  <c r="M12" i="12"/>
  <c r="M49" i="2"/>
  <c r="J33" i="12"/>
  <c r="L33" i="12" s="1"/>
  <c r="L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<sst xmlns="http://schemas.openxmlformats.org/spreadsheetml/2006/main" count="947" uniqueCount="563">
  <si>
    <t>$</t>
  </si>
  <si>
    <t>Local</t>
  </si>
  <si>
    <t>1000</t>
  </si>
  <si>
    <t>State</t>
  </si>
  <si>
    <t>Intermediate</t>
  </si>
  <si>
    <t>2000</t>
  </si>
  <si>
    <t>Federal</t>
  </si>
  <si>
    <t>1000 Schoolwide Project</t>
  </si>
  <si>
    <t>Employee</t>
  </si>
  <si>
    <t>Purchased</t>
  </si>
  <si>
    <t>Salaries</t>
  </si>
  <si>
    <t>Supplies</t>
  </si>
  <si>
    <t>Other</t>
  </si>
  <si>
    <t>6300, 6400,</t>
  </si>
  <si>
    <t>1000 Instruction</t>
  </si>
  <si>
    <t xml:space="preserve">1 to </t>
  </si>
  <si>
    <t>(Must be included on page 1)</t>
  </si>
  <si>
    <t>1.</t>
  </si>
  <si>
    <t>2.</t>
  </si>
  <si>
    <t xml:space="preserve">    TOTAL</t>
  </si>
  <si>
    <t>1220  IDEA, Part B</t>
  </si>
  <si>
    <t>1230  Johnson-O'Malley</t>
  </si>
  <si>
    <t>1400  Vocational Education</t>
  </si>
  <si>
    <t>1425  Adult Basic Education</t>
  </si>
  <si>
    <t>1430  Chemical Abuse Prevention Programs</t>
  </si>
  <si>
    <t>1435  Academic Contests</t>
  </si>
  <si>
    <t>1460  Environmental Special Plate</t>
  </si>
  <si>
    <t>Totals</t>
  </si>
  <si>
    <t>Budget</t>
  </si>
  <si>
    <t>%</t>
  </si>
  <si>
    <t>Increase/</t>
  </si>
  <si>
    <t>1290  Medicaid Reimbursement</t>
  </si>
  <si>
    <t>1410  Early Childhood Block Grant</t>
  </si>
  <si>
    <t>3000</t>
  </si>
  <si>
    <t>4000</t>
  </si>
  <si>
    <t>1310-1399  Other Federal Projects</t>
  </si>
  <si>
    <t>1465  Charter School Stimulus Fund</t>
  </si>
  <si>
    <t>1300  Charter School Implementation Proj. (Stimulus)</t>
  </si>
  <si>
    <t>Version</t>
  </si>
  <si>
    <t>Proposed</t>
  </si>
  <si>
    <t>Adopted</t>
  </si>
  <si>
    <t>Revised</t>
  </si>
  <si>
    <t>Date</t>
  </si>
  <si>
    <t>Subtotal (lines 16-26)</t>
  </si>
  <si>
    <t>d.b.a. (as applicable)</t>
  </si>
  <si>
    <t>Expenses</t>
  </si>
  <si>
    <t xml:space="preserve">Employee </t>
  </si>
  <si>
    <t>3.</t>
  </si>
  <si>
    <t>4.</t>
  </si>
  <si>
    <t>5.</t>
  </si>
  <si>
    <t xml:space="preserve">   2100 Students </t>
  </si>
  <si>
    <t>1240  Workforce Investment Act</t>
  </si>
  <si>
    <t xml:space="preserve">Indicate amounts budgeted in Project 1020 for the following: </t>
  </si>
  <si>
    <t>Telephone:</t>
  </si>
  <si>
    <t>Email:</t>
  </si>
  <si>
    <t xml:space="preserve">Employee  </t>
  </si>
  <si>
    <t xml:space="preserve">Number of </t>
  </si>
  <si>
    <t>Subtotal (lines 1-14)</t>
  </si>
  <si>
    <t>Compensatory Instruction Project - 1072</t>
  </si>
  <si>
    <t>ELL Compensatory Instruction</t>
  </si>
  <si>
    <t xml:space="preserve">   2200 Instruction</t>
  </si>
  <si>
    <t>300 Special Education Disability Title 8 PL 103-382 Add-On</t>
  </si>
  <si>
    <t>1450  Gifted Education</t>
  </si>
  <si>
    <t>0196  Equipment</t>
  </si>
  <si>
    <t xml:space="preserve">  2100 Students</t>
  </si>
  <si>
    <t xml:space="preserve">  2200 Instruction</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</si>
  <si>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</si>
  <si>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</si>
  <si>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</si>
  <si>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</si>
  <si>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</si>
  <si>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</si>
  <si>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</si>
  <si>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1250  AEA-Adult Education</t>
  </si>
  <si>
    <t>1260-1270  Vocational Education-Basic Grants</t>
  </si>
  <si>
    <t>1280  ESEA Title X-Homeless Education</t>
  </si>
  <si>
    <t>1420  Extended School Year-Pupils with Disabilities</t>
  </si>
  <si>
    <t>2100 Students</t>
  </si>
  <si>
    <t>2200 Instruction</t>
  </si>
  <si>
    <t>300 Special Ed.Disability Title 8 PL 103-382 Add-On</t>
  </si>
  <si>
    <t>Total</t>
  </si>
  <si>
    <t>Schoolwide</t>
  </si>
  <si>
    <t>Instructional Improvement</t>
  </si>
  <si>
    <t>550 K-3 Reading</t>
  </si>
  <si>
    <t>Page</t>
  </si>
  <si>
    <t>Reference</t>
  </si>
  <si>
    <t>General</t>
  </si>
  <si>
    <t>Cover</t>
  </si>
  <si>
    <t xml:space="preserve">Instructional Improvement Project </t>
  </si>
  <si>
    <t>Compensatory Instruction Project</t>
  </si>
  <si>
    <t>Classroom Site Project</t>
  </si>
  <si>
    <t>Program 550</t>
  </si>
  <si>
    <t>Instruction</t>
  </si>
  <si>
    <t xml:space="preserve">The information on the Budget Summary is self-populating and will be automatically brought forward from the other pages of the Budget. </t>
  </si>
  <si>
    <t>Prior</t>
  </si>
  <si>
    <t xml:space="preserve">This cell will only accept entries of 9 digits. Do not include any slashes, dashes, etc. Enter the school's CTD number plus 3 zeros. </t>
  </si>
  <si>
    <t>13__  Impact Aid</t>
  </si>
  <si>
    <t>6300, 6400, 6500</t>
  </si>
  <si>
    <t>Total (lines 1-7)</t>
  </si>
  <si>
    <t>Schools should budget total expenses for the disability classifications defined in A.R.S. §15-761.</t>
  </si>
  <si>
    <t>Subtotal (lines 15 and 27-31)</t>
  </si>
  <si>
    <t>Total (lines 32-37)</t>
  </si>
  <si>
    <t>1456 College Credit Exam Incentives</t>
  </si>
  <si>
    <t>College Credit Exam Incentives</t>
  </si>
  <si>
    <t xml:space="preserve">4. Percentage increase </t>
  </si>
  <si>
    <t>Percentage increase</t>
  </si>
  <si>
    <t>http://www.azed.gov/mowr/</t>
  </si>
  <si>
    <t>AzEDS/ADM Data Coordinator</t>
  </si>
  <si>
    <t>Business Manager</t>
  </si>
  <si>
    <t>Charter Representative</t>
  </si>
  <si>
    <t>Executive Assistant to Charter Representative</t>
  </si>
  <si>
    <t>Governing Board Member</t>
  </si>
  <si>
    <t>SPED Data Coordinator</t>
  </si>
  <si>
    <t>Prefix</t>
  </si>
  <si>
    <t>Miss</t>
  </si>
  <si>
    <t>Mr.</t>
  </si>
  <si>
    <t>Ms.</t>
  </si>
  <si>
    <t>Mrs.</t>
  </si>
  <si>
    <t>Dr.</t>
  </si>
  <si>
    <t>AZ Dept of Juvenile Corrections (AZDJC)</t>
  </si>
  <si>
    <t>BocaVox (Maestro)</t>
  </si>
  <si>
    <t>Hane Solutions (SchoolDex)</t>
  </si>
  <si>
    <t>InfiniteCampus (InfiniteCampus)</t>
  </si>
  <si>
    <t>Strongmind (Strongmind)</t>
  </si>
  <si>
    <t>Tyler Technologies (Schoolmaster)</t>
  </si>
  <si>
    <t>Tyler Technologies (Tyler V10)</t>
  </si>
  <si>
    <t>Student Information System (SIS) Vendor</t>
  </si>
  <si>
    <t>Fill in the contact information for all positions listed on this tab. If any of the positions do not exist at your school, please fill in the appropriate person to contact related to that topic.</t>
  </si>
  <si>
    <t>County</t>
  </si>
  <si>
    <t>PSD</t>
  </si>
  <si>
    <t>K-8</t>
  </si>
  <si>
    <t>9-12</t>
  </si>
  <si>
    <t>-</t>
  </si>
  <si>
    <t>Difference</t>
  </si>
  <si>
    <t>=</t>
  </si>
  <si>
    <t>x</t>
  </si>
  <si>
    <t>+</t>
  </si>
  <si>
    <t>K-3 Reading</t>
  </si>
  <si>
    <t>K-3</t>
  </si>
  <si>
    <t>English Learners (ELL)</t>
  </si>
  <si>
    <t>Hearing Impairment (HI)</t>
  </si>
  <si>
    <t>Multiple Disabilities Severe Sensory Impairment</t>
  </si>
  <si>
    <t>Orthopedic Impairment (Resource)</t>
  </si>
  <si>
    <t>Orthopedic Impairment (Self Contained)</t>
  </si>
  <si>
    <t>Preschool-Severe Delay (P-SD)</t>
  </si>
  <si>
    <t>Emotional Disability (Private)</t>
  </si>
  <si>
    <t>Moderate Intellectual Disability (MOID)</t>
  </si>
  <si>
    <t>Visual Impairment (VI)</t>
  </si>
  <si>
    <t>Non-AOI</t>
  </si>
  <si>
    <t>AOI FT*</t>
  </si>
  <si>
    <t>AOI PT*</t>
  </si>
  <si>
    <t>*AOI counts shown reflect applicable full-time or part-time funding ratio.</t>
  </si>
  <si>
    <t>ELL</t>
  </si>
  <si>
    <t>HI</t>
  </si>
  <si>
    <t>MD-R, A-R, SID-R</t>
  </si>
  <si>
    <t>MD-SC, A-SC, SID-SC</t>
  </si>
  <si>
    <t>P-SD</t>
  </si>
  <si>
    <t>MOID</t>
  </si>
  <si>
    <t>VI</t>
  </si>
  <si>
    <t>DD, ED, MIID, SLD, SLI, OHI</t>
  </si>
  <si>
    <t>The organizational structure or management agreement of your charter holder requires your charter holder or charter school to contract with a specific management company.</t>
  </si>
  <si>
    <t xml:space="preserve">Check box if the school has been approved to provide 200 days of instruction by ADE. </t>
  </si>
  <si>
    <t>X</t>
  </si>
  <si>
    <t>Charter School</t>
  </si>
  <si>
    <t>Comments on average salary calculation (optional):</t>
  </si>
  <si>
    <t>Charter's website address</t>
  </si>
  <si>
    <t xml:space="preserve">    </t>
  </si>
  <si>
    <t>MD-R (Multiple Disabilities-Resource), A-R (Autism-Resource), and SID-R (Severe Intellectual Disability-Resource)</t>
  </si>
  <si>
    <t>MD-SC (Multiple Disabilities-Self-Contained), A-SC (Autism-Self-Contained), and SID-SC (Severe Intellectual Disability-Self-Contained)</t>
  </si>
  <si>
    <t>DD (Developmental Delay for children in kindergarten through age 10), ED (Emotional Disabilities), MIID (Mild Intellectual Disability), SLD (Specific Learning Disability), SLI (Speech/Language Impairment), and OHI (Other Health Impairments)</t>
  </si>
  <si>
    <t>(1)</t>
  </si>
  <si>
    <t>(2)</t>
  </si>
  <si>
    <t>(3)</t>
  </si>
  <si>
    <t>MD-R, A-R, and SID-R     (1)</t>
  </si>
  <si>
    <t>MD-SC, A-SC, and SID-SC     (2)</t>
  </si>
  <si>
    <t>DD, ED, MIID, SLD, SLI, and OHI     (3)</t>
  </si>
  <si>
    <t>English Language Learner Project - 1071</t>
  </si>
  <si>
    <t>English Language Learner</t>
  </si>
  <si>
    <t>English Language Learner Project</t>
  </si>
  <si>
    <t>State of Arizona</t>
  </si>
  <si>
    <t xml:space="preserve">Charter School Annual Budget </t>
  </si>
  <si>
    <t>By the Governing Board</t>
  </si>
  <si>
    <t>Charter school</t>
  </si>
  <si>
    <t>Signed</t>
  </si>
  <si>
    <t>Title</t>
  </si>
  <si>
    <t>Charter contact information</t>
  </si>
  <si>
    <t xml:space="preserve">  County</t>
  </si>
  <si>
    <t>Federal and State projects</t>
  </si>
  <si>
    <t>Special education programs by type</t>
  </si>
  <si>
    <t>Proposed ratios for</t>
  </si>
  <si>
    <t>Selected expenses by type</t>
  </si>
  <si>
    <t>for food service expenses</t>
  </si>
  <si>
    <t>State equalization assistance budgeted</t>
  </si>
  <si>
    <t>Special education programs</t>
  </si>
  <si>
    <t>Expenses by project</t>
  </si>
  <si>
    <t>Support level weights to be used for:</t>
  </si>
  <si>
    <t>Average teacher salary</t>
  </si>
  <si>
    <t>Extension</t>
  </si>
  <si>
    <t>Poverty Coordinator</t>
  </si>
  <si>
    <t>Curriculum Coordinator</t>
  </si>
  <si>
    <t>Business Consultant</t>
  </si>
  <si>
    <t>Accounting Information System</t>
  </si>
  <si>
    <t>Information Technology (IT) Director</t>
  </si>
  <si>
    <t>Is the Charter exempt from the Uniform System of Financial Records for Charter Schools (USFRCS)?</t>
  </si>
  <si>
    <t>Yes</t>
  </si>
  <si>
    <t>No</t>
  </si>
  <si>
    <t>Instructional Improvement Project</t>
  </si>
  <si>
    <r>
      <t>Total I</t>
    </r>
    <r>
      <rPr>
        <sz val="10"/>
        <rFont val="Arial"/>
        <family val="2"/>
      </rPr>
      <t xml:space="preserve">nstructional </t>
    </r>
    <r>
      <rPr>
        <sz val="10"/>
        <rFont val="Arial"/>
        <family val="2"/>
      </rPr>
      <t>Imp</t>
    </r>
    <r>
      <rPr>
        <sz val="10"/>
        <rFont val="Arial"/>
        <family val="2"/>
      </rPr>
      <t>rovement (lines 1-4)</t>
    </r>
  </si>
  <si>
    <t>Select from drop-down</t>
  </si>
  <si>
    <t>Assessments Coordinator</t>
  </si>
  <si>
    <t>Capital acquisitions</t>
  </si>
  <si>
    <t>special education</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</si>
  <si>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</si>
  <si>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1100-1399 Federal projects</t>
  </si>
  <si>
    <t>1400-1499 State projects</t>
  </si>
  <si>
    <t>Charter name</t>
  </si>
  <si>
    <t>Charter school contact employee:</t>
  </si>
  <si>
    <t>Type the date as MM/DD/YYYY</t>
  </si>
  <si>
    <t>School official signature</t>
  </si>
  <si>
    <t>School official (typed name)</t>
  </si>
  <si>
    <t>Average teacher salary (A.R.S. §15-189.05)</t>
  </si>
  <si>
    <t>CTDS number</t>
  </si>
  <si>
    <t>First name</t>
  </si>
  <si>
    <t>Last name</t>
  </si>
  <si>
    <t>Email address</t>
  </si>
  <si>
    <t>Telephone number</t>
  </si>
  <si>
    <t>services</t>
  </si>
  <si>
    <t>year</t>
  </si>
  <si>
    <t>benefits</t>
  </si>
  <si>
    <t>Prior year</t>
  </si>
  <si>
    <t>Budget year</t>
  </si>
  <si>
    <t>Gifted education</t>
  </si>
  <si>
    <t>Remedial education</t>
  </si>
  <si>
    <t>Career education</t>
  </si>
  <si>
    <t>Total all disability classifications</t>
  </si>
  <si>
    <t>Teacher compensation increases</t>
  </si>
  <si>
    <t>Class size reduction</t>
  </si>
  <si>
    <t>Dropout prevention programs</t>
  </si>
  <si>
    <t>Instructional improvement programs</t>
  </si>
  <si>
    <t>Audit services</t>
  </si>
  <si>
    <t>Classroom instruction</t>
  </si>
  <si>
    <t>personnel</t>
  </si>
  <si>
    <t>Total expenses</t>
  </si>
  <si>
    <t>Student count</t>
  </si>
  <si>
    <t>Support level weight</t>
  </si>
  <si>
    <t>Total weighted student count</t>
  </si>
  <si>
    <t>Base support level weights (Group A weights)  [A.R.S. §§15-943 and 15-185]</t>
  </si>
  <si>
    <t xml:space="preserve">Individual charter school counts </t>
  </si>
  <si>
    <t>PSD-12 student count</t>
  </si>
  <si>
    <t>Non-AOI student count</t>
  </si>
  <si>
    <t>Full-time AOI student count</t>
  </si>
  <si>
    <t>Part-time AOI student count</t>
  </si>
  <si>
    <t xml:space="preserve">    Total student count</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</si>
  <si>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</si>
  <si>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</si>
  <si>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</si>
  <si>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</si>
  <si>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</si>
  <si>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</si>
  <si>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</si>
  <si>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</si>
  <si>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</si>
  <si>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Base support level adjustments [A.R.S. §§15-943 &amp; 15-185]</t>
  </si>
  <si>
    <t>Decrease for federal and State monies received for M&amp;O purposes</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</si>
  <si>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</si>
  <si>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Increase for allocation of additional funding [2016 Prop 123 &amp; Laws 2015, 1st S.S., Ch.1, §6]</t>
  </si>
  <si>
    <t>School's percent of state-wide weighted student count</t>
  </si>
  <si>
    <t>Base support level weights calculation [A.R.S. §§15-943 and 15-185]</t>
  </si>
  <si>
    <t xml:space="preserve">Table 1 - Individual charter school counts </t>
  </si>
  <si>
    <t>Student count 0.001-99.999</t>
  </si>
  <si>
    <t>Student count 100.000-499.999</t>
  </si>
  <si>
    <t>Student count constant</t>
  </si>
  <si>
    <t>Weight adjustment factor</t>
  </si>
  <si>
    <t>Support level weight increase</t>
  </si>
  <si>
    <t>Support level weight constant</t>
  </si>
  <si>
    <t xml:space="preserve">    Support level weight </t>
  </si>
  <si>
    <t>Student count 500.000-599.999</t>
  </si>
  <si>
    <t xml:space="preserve">Student count 600.000 or more </t>
  </si>
  <si>
    <t>Student Count 0.001-99.999</t>
  </si>
  <si>
    <t>Support level weight from Table 1</t>
  </si>
  <si>
    <t>Support level weight from Table 2 (based on small school weight eligibility)</t>
  </si>
  <si>
    <t xml:space="preserve"> Base support level amounts from total K-3 and total K-3 Reading weighted student counts</t>
  </si>
  <si>
    <t>Estimated allocation of additional Prop 123 funding</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</si>
  <si>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</si>
  <si>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</si>
  <si>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</si>
  <si>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</si>
  <si>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Employee benefits</t>
  </si>
  <si>
    <t>Special education programs by type, line 1</t>
  </si>
  <si>
    <t>See USFRCS page III-B-1 for guidance on using the Instructional Improvement Project (Project 1020).</t>
  </si>
  <si>
    <t>Instructional Improvement Project, lines 3 and 4</t>
  </si>
  <si>
    <t>Budget summary</t>
  </si>
  <si>
    <t>Total expenses (lines 9 and 10)</t>
  </si>
  <si>
    <t>Total expenses (lines 20 and 21)</t>
  </si>
  <si>
    <t>Edupoint (Synergy)</t>
  </si>
  <si>
    <t>100 Regular education</t>
  </si>
  <si>
    <t>Support services</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</si>
  <si>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</si>
  <si>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</si>
  <si>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</si>
  <si>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</si>
  <si>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</si>
  <si>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</si>
  <si>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</si>
  <si>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</si>
  <si>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</si>
  <si>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</si>
  <si>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</si>
  <si>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200 Special education</t>
  </si>
  <si>
    <t>400 Pupil transportation</t>
  </si>
  <si>
    <t>530 Dropout prevention programs</t>
  </si>
  <si>
    <t>540 Joint career &amp; technical ed. &amp; vocational ed. center</t>
  </si>
  <si>
    <t>decrease</t>
  </si>
  <si>
    <t>ELL incremental costs</t>
  </si>
  <si>
    <t>ELL compensatory instruction</t>
  </si>
  <si>
    <t>Vocational and technical ed.</t>
  </si>
  <si>
    <t>Teacher-pupil</t>
  </si>
  <si>
    <t>Staff-pupil</t>
  </si>
  <si>
    <t>2100 Support services—students</t>
  </si>
  <si>
    <t>2200 Support services—instruction</t>
  </si>
  <si>
    <t>3300 Community services operations</t>
  </si>
  <si>
    <t>2300 Support services—general administration</t>
  </si>
  <si>
    <t>0191  Land and land improvements</t>
  </si>
  <si>
    <t>0192  Site improvements</t>
  </si>
  <si>
    <t>0194  Buildings and building improvements</t>
  </si>
  <si>
    <t>0198  Construction in progress</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</si>
  <si>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</si>
  <si>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</si>
  <si>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</si>
  <si>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</si>
  <si>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</si>
  <si>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</si>
  <si>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</si>
  <si>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</si>
  <si>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Program 265 subtotal (lines 12-19)</t>
  </si>
  <si>
    <t>2300 General administration</t>
  </si>
  <si>
    <t>2400 School administration</t>
  </si>
  <si>
    <t>2500 Central services</t>
  </si>
  <si>
    <t>2600 Operation &amp; maintenance of plant</t>
  </si>
  <si>
    <t>2900 Other support services</t>
  </si>
  <si>
    <t>Regular education subtotal</t>
  </si>
  <si>
    <t>Special education subtotal</t>
  </si>
  <si>
    <t>540 Joint career &amp; tech. ed. &amp; voc. ed. center</t>
  </si>
  <si>
    <t>Federal projects</t>
  </si>
  <si>
    <t>State projects</t>
  </si>
  <si>
    <t>budgeted for food service, function 3100:</t>
  </si>
  <si>
    <t>260 Special education—ELL incremental costs</t>
  </si>
  <si>
    <t>265 Special education—ELL compensatory instruction</t>
  </si>
  <si>
    <t>435 Pupil transportation—ELL compensatory instruction</t>
  </si>
  <si>
    <t xml:space="preserve">Enter the amount of State equalization assistance </t>
  </si>
  <si>
    <t>Table 2 - Charter holder total charter school counts (only calculated if 1 or more criteria are checked on the Data Entry tab)</t>
  </si>
  <si>
    <t>Federal and State projects, line 37</t>
  </si>
  <si>
    <t>State equalization assistance budgeted for food service expenses</t>
  </si>
  <si>
    <t>Instructional Improvement Project monies spent for dropout prevention programs and instructional improvement programs must be spent for maintenance and operation purposes only.</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</si>
  <si>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</si>
  <si>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</si>
  <si>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Pearson (Connexus)</t>
  </si>
  <si>
    <t>MediaNet Solutions (e-IEP PRO)</t>
  </si>
  <si>
    <t>JupiterEd (JupiterEd)</t>
  </si>
  <si>
    <t>Mesa Distance Learning Program (MDLP)</t>
  </si>
  <si>
    <t>Debt service</t>
  </si>
  <si>
    <t>Interest 6850</t>
  </si>
  <si>
    <t>Additional information</t>
  </si>
  <si>
    <t>Classroom Site Project 1010</t>
  </si>
  <si>
    <t>0181  Intangible assets</t>
  </si>
  <si>
    <t>Expenses budgeted for transporting students with disabilities (as defined in A.R.S. §15-761) unique to the IEP</t>
  </si>
  <si>
    <t>Special education programs by type, line 9</t>
  </si>
  <si>
    <t>Number of full-time equivalent certified teachers</t>
  </si>
  <si>
    <t>Number of full-time equivalent noncertified teachers</t>
  </si>
  <si>
    <t>Number of full-time equivalent contract teachers</t>
  </si>
  <si>
    <t xml:space="preserve">Estimated full-time equivalent teachers </t>
  </si>
  <si>
    <t>[A.R.S. §15-903(E)(2)]</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</si>
  <si>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</si>
  <si>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</si>
  <si>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t>Schools should budget for total transportation expenses within program 400 for transporting students whose IEPs will require transportation as necessary for the provision of free and appropriate public education (FAPE).</t>
  </si>
  <si>
    <t>Total Classroom Site Project (lines 1-5)</t>
  </si>
  <si>
    <t>Arizona Industry Credentials Incentive</t>
  </si>
  <si>
    <t>14__  Arizona Industry Credentials Incentive</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</si>
  <si>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</si>
  <si>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Edupoint (Edupoint)</t>
  </si>
  <si>
    <t>Include the total of federal and State project expenses (project codes 1100 through 1499 from page 2) on line 37. Schools should not include federal and State project expenses with other Schoolwide Project expenses on lines 1 through 36.</t>
  </si>
  <si>
    <t xml:space="preserve">Audit services expense should be the total audit costs to be incurred during the budget year.
Classroom instruction expenses should be the total of expenses budgeted in function code 1000 for program codes 100, 200, and 500 for the budget year.
</t>
  </si>
  <si>
    <t>Redemption of principal</t>
  </si>
  <si>
    <t>Property disbursements</t>
  </si>
  <si>
    <t>Summary of significant changes</t>
  </si>
  <si>
    <t>Updated contribution rates.</t>
  </si>
  <si>
    <t>PowerSchool (PowerSchool)</t>
  </si>
  <si>
    <t>1000 Schoolwide Project and 1500-1999 Other Special Projects</t>
  </si>
  <si>
    <t>1020 Instructional Improvement Project (from page 2, line 5)</t>
  </si>
  <si>
    <t>1071 English Language Learner Project (from page 4, line 11)</t>
  </si>
  <si>
    <t>1072 Compensatory Instruction Project (from page 4, line 22)</t>
  </si>
  <si>
    <t>Total capital acquisitions (lines 1-6)</t>
  </si>
  <si>
    <t>Total capital acquisitions, if any, budgeted on lines 1-6 above for the K-3 Reading Program</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</si>
  <si>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</si>
  <si>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</si>
  <si>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</si>
  <si>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</si>
  <si>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Schools budgeting for special education expenses in program code 200 should report amounts allocated by program type on page 2. Supporting documentation should be retained for the allocation of expenses budgeted for individual special education programs.</t>
  </si>
  <si>
    <t>Classroom Site Project budgeted property payments</t>
  </si>
  <si>
    <t>Classroom Site Project 1010 budgeted property payments</t>
  </si>
  <si>
    <t>1010 Classroom Site Project (from page 3, line 6)</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</si>
  <si>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</si>
  <si>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</si>
  <si>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Grade Levels</t>
  </si>
  <si>
    <t>Non-AOI 
Student Count</t>
  </si>
  <si>
    <t>AOI-FT 
Student Count</t>
  </si>
  <si>
    <t>AOI-PT
Student Count</t>
  </si>
  <si>
    <t>Support Level 
Weight</t>
  </si>
  <si>
    <t>Non-AOI 
Weighted Student
Count</t>
  </si>
  <si>
    <t>AOI-FT 
Weighted Student
Count</t>
  </si>
  <si>
    <t>AOI-PT
Weighted Student
Count</t>
  </si>
  <si>
    <t>Page 1 of 3</t>
  </si>
  <si>
    <t>Regular Education Weighted Student Count</t>
  </si>
  <si>
    <t xml:space="preserve">Audit Service Expense        </t>
  </si>
  <si>
    <t>Adjusted Base Support Level</t>
  </si>
  <si>
    <t>Non-AOI 
Weighted Student Count</t>
  </si>
  <si>
    <t>AOI-FT 
Weighted Student Count</t>
  </si>
  <si>
    <t>AOI-PT
Weighted Student Count</t>
  </si>
  <si>
    <t>Page 2 of 3</t>
  </si>
  <si>
    <t>Page 3 of 3</t>
  </si>
  <si>
    <t>Calculation For CAA</t>
  </si>
  <si>
    <t xml:space="preserve">Adjusted Total Charter Additional Assistance  </t>
  </si>
  <si>
    <t>Equalization Assistance</t>
  </si>
  <si>
    <t xml:space="preserve">Adjusted Base Support Level     </t>
  </si>
  <si>
    <t>Adjusted Total Charter Additional Assistance</t>
  </si>
  <si>
    <t xml:space="preserve">Equalization Assistance   </t>
  </si>
  <si>
    <t>Regular Education Unweighted Student Count</t>
  </si>
  <si>
    <t>K-3 (Reading)</t>
  </si>
  <si>
    <t>OI-R</t>
  </si>
  <si>
    <t>OI-SC</t>
  </si>
  <si>
    <r>
      <rPr>
        <b/>
        <u/>
        <sz val="10"/>
        <rFont val="Arial"/>
        <family val="2"/>
      </rPr>
      <t>Calculation For Base Support Level</t>
    </r>
  </si>
  <si>
    <t>Group B - Add On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</si>
  <si>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</si>
  <si>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</si>
  <si>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</si>
  <si>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</si>
  <si>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</si>
  <si>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</si>
  <si>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K-8,UE</t>
  </si>
  <si>
    <t>Student Count</t>
  </si>
  <si>
    <t>Additional Assistance Per Student</t>
  </si>
  <si>
    <t>Additional Assistance</t>
  </si>
  <si>
    <t>Total Charter Additional Assistance</t>
  </si>
  <si>
    <t>Additional Assistance Adjustments</t>
  </si>
  <si>
    <t>Group B - Add On Unweighted Student Count</t>
  </si>
  <si>
    <t>Total Unweighted Group B Add On</t>
  </si>
  <si>
    <t>Total Weighted Group B Add On</t>
  </si>
  <si>
    <t xml:space="preserve">Add Ons </t>
  </si>
  <si>
    <t>Basic Calculations For Equalization Assistance</t>
  </si>
  <si>
    <t>Total of Unweighted Student Count</t>
  </si>
  <si>
    <t>Total of Weighted Student Count</t>
  </si>
  <si>
    <t>MD-SSI</t>
  </si>
  <si>
    <t>ED-P</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</si>
  <si>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</si>
  <si>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 xml:space="preserve">Adjustment for remote instructional time [A.R.S. §15-901.08] </t>
  </si>
  <si>
    <t>Support level</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</si>
  <si>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</si>
  <si>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</si>
  <si>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G</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</si>
  <si>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</si>
  <si>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</si>
  <si>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Educational Programs for Gifted Pupils (G)     (4)</t>
  </si>
  <si>
    <t>(4)</t>
  </si>
  <si>
    <t xml:space="preserve">See ADE's School Finance Hot Topic for additional information on educational programs for gifted students at https://www.azed.gov/finance/fy-2022-gifted-add-payment </t>
  </si>
  <si>
    <t>Adjustment For Remote Instructional Time Calculated By ADE</t>
  </si>
  <si>
    <t>FRPL</t>
  </si>
  <si>
    <t>Free and Reduced-Price Lunch (FRPL)    (5)</t>
  </si>
  <si>
    <t>(5)</t>
  </si>
  <si>
    <r>
      <rPr>
        <sz val="10"/>
        <rFont val="Arial"/>
        <family val="2"/>
      </rPr>
      <t>Support level weight (lesser of lines 1 and 2, as applicable, as shown on BSA 55-1)</t>
    </r>
    <r>
      <rPr>
        <strike/>
        <sz val="10"/>
        <rFont val="Arial"/>
        <family val="2"/>
      </rPr>
      <t xml:space="preserve"> </t>
    </r>
  </si>
  <si>
    <t>FY 2024</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</si>
  <si>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</si>
  <si>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r>
      <t>Total federal projects (</t>
    </r>
    <r>
      <rPr>
        <sz val="10"/>
        <rFont val="Arial"/>
        <family val="2"/>
      </rPr>
      <t>lines 1-17)</t>
    </r>
  </si>
  <si>
    <t>Estimated allocation of additional onetime state aid supplement</t>
  </si>
  <si>
    <t>Increase for allocation of onetime state aid supplement  [Laws 2023, Ch. 133, §31]</t>
  </si>
  <si>
    <t>Estimated revenues by source for fiscal year 2024</t>
  </si>
  <si>
    <r>
      <t xml:space="preserve">We hereby certify that the budget for the school year </t>
    </r>
    <r>
      <rPr>
        <sz val="10"/>
        <rFont val="Arial"/>
        <family val="2"/>
      </rPr>
      <t>2024 was</t>
    </r>
  </si>
  <si>
    <r>
      <t xml:space="preserve">The FY </t>
    </r>
    <r>
      <rPr>
        <sz val="10"/>
        <rFont val="Arial"/>
        <family val="2"/>
      </rPr>
      <t>2024 budget file for the version described at left will be uploaded through the</t>
    </r>
  </si>
  <si>
    <r>
      <rPr>
        <sz val="10"/>
        <rFont val="Arial"/>
        <family val="2"/>
      </rPr>
      <t>School Finance Budget System on ADE's website by</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</si>
  <si>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</si>
  <si>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</si>
  <si>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</si>
  <si>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r>
      <t xml:space="preserve">Check box if the school is new and will begin operations in FY </t>
    </r>
    <r>
      <rPr>
        <sz val="10"/>
        <rFont val="Arial"/>
        <family val="2"/>
      </rPr>
      <t>2024.</t>
    </r>
  </si>
  <si>
    <r>
      <t xml:space="preserve">Total budgeted revenues for fiscal year </t>
    </r>
    <r>
      <rPr>
        <sz val="10"/>
        <rFont val="Arial"/>
        <family val="2"/>
      </rPr>
      <t>2023</t>
    </r>
  </si>
  <si>
    <t>1100-1499 Federal and State projects (from page 2, line 32)</t>
  </si>
  <si>
    <r>
      <t xml:space="preserve">Prior year </t>
    </r>
    <r>
      <rPr>
        <sz val="10"/>
        <rFont val="Arial"/>
        <family val="2"/>
      </rPr>
      <t>2023</t>
    </r>
  </si>
  <si>
    <r>
      <t xml:space="preserve">Budget year </t>
    </r>
    <r>
      <rPr>
        <sz val="10"/>
        <rFont val="Arial"/>
        <family val="2"/>
      </rPr>
      <t>2024</t>
    </r>
  </si>
  <si>
    <r>
      <t xml:space="preserve">Program 200 budget year </t>
    </r>
    <r>
      <rPr>
        <sz val="10"/>
        <rFont val="Arial"/>
        <family val="2"/>
      </rPr>
      <t>2024</t>
    </r>
  </si>
  <si>
    <r>
      <t xml:space="preserve">Program 200 prior year </t>
    </r>
    <r>
      <rPr>
        <sz val="10"/>
        <rFont val="Arial"/>
        <family val="2"/>
      </rPr>
      <t>2023</t>
    </r>
  </si>
  <si>
    <r>
      <t xml:space="preserve">Prior year  </t>
    </r>
    <r>
      <rPr>
        <sz val="10"/>
        <rFont val="Arial"/>
        <family val="2"/>
      </rPr>
      <t>2023</t>
    </r>
  </si>
  <si>
    <r>
      <t xml:space="preserve">Budget year
</t>
    </r>
    <r>
      <rPr>
        <sz val="10"/>
        <rFont val="Arial"/>
        <family val="2"/>
      </rPr>
      <t>2024</t>
    </r>
  </si>
  <si>
    <r>
      <t xml:space="preserve">Prior year
</t>
    </r>
    <r>
      <rPr>
        <sz val="10"/>
        <rFont val="Arial"/>
        <family val="2"/>
      </rPr>
      <t>2023</t>
    </r>
  </si>
  <si>
    <r>
      <t>Total State projects (</t>
    </r>
    <r>
      <rPr>
        <sz val="10"/>
        <rFont val="Arial"/>
        <family val="2"/>
      </rPr>
      <t>lines 19-30)</t>
    </r>
  </si>
  <si>
    <r>
      <t>Total federal and State projects (</t>
    </r>
    <r>
      <rPr>
        <sz val="10"/>
        <rFont val="Arial"/>
        <family val="2"/>
      </rPr>
      <t>lines 18 and 31)</t>
    </r>
  </si>
  <si>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</si>
  <si>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</si>
  <si>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r>
      <t xml:space="preserve">Increase in average teacher salary from the prior year </t>
    </r>
    <r>
      <rPr>
        <sz val="10"/>
        <rFont val="Arial"/>
        <family val="2"/>
      </rPr>
      <t>2023</t>
    </r>
  </si>
  <si>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</si>
  <si>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r>
      <t xml:space="preserve">Total weighted student count (lines 1 </t>
    </r>
    <r>
      <rPr>
        <sz val="10"/>
        <rFont val="Arial"/>
        <family val="2"/>
      </rPr>
      <t>through 16)</t>
    </r>
  </si>
  <si>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</si>
  <si>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</si>
  <si>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nonfederal audit service actual expense</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</si>
  <si>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</si>
  <si>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</si>
  <si>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Increase for allocation of additional funding [2016 Prop 123 &amp; Laws 2015, 1st S.S., Ch.1, §6] and onetime state aid supplement [Laws 2023, Ch. 133, §31]</t>
  </si>
  <si>
    <t>Base Level Amount (FY24)</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</si>
  <si>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</si>
  <si>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Base estimated revenues by source for FY 2024 on the best information available at the time the budget is prepared. Estimated revenues may be more or less than estimated expenses.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</si>
  <si>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</si>
  <si>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</si>
  <si>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</si>
  <si>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</si>
  <si>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</si>
  <si>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Other State Projects</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</si>
  <si>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</si>
  <si>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</si>
  <si>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Schools may use the SUPP72 in AzEDS to estimate FY 2024 eligible student counts. This weight applies to all students in schools with community eligibility.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</si>
  <si>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</si>
  <si>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</si>
  <si>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Tucson International Academy</t>
  </si>
  <si>
    <t>Pima</t>
  </si>
  <si>
    <t>108714000</t>
  </si>
  <si>
    <t>Jennifer Herrera</t>
  </si>
  <si>
    <t>jherrera@tiak12.com</t>
  </si>
  <si>
    <t>Claudina Douglas</t>
  </si>
  <si>
    <t>Revised #1</t>
  </si>
  <si>
    <t>Jennifer E.</t>
  </si>
  <si>
    <t>Herrera</t>
  </si>
  <si>
    <t>520-661-7426</t>
  </si>
  <si>
    <t>Wences</t>
  </si>
  <si>
    <t>wences1016@gmail.com</t>
  </si>
  <si>
    <t>520-884-8574</t>
  </si>
  <si>
    <t>Claudina</t>
  </si>
  <si>
    <t>Douglas</t>
  </si>
  <si>
    <t>cdouglas@adibiz.com</t>
  </si>
  <si>
    <t>480-940-7538</t>
  </si>
  <si>
    <t>Arlene</t>
  </si>
  <si>
    <t>Canez</t>
  </si>
  <si>
    <t>acanez@tiak12.com</t>
  </si>
  <si>
    <t>520-704-0869</t>
  </si>
  <si>
    <t>Valerie</t>
  </si>
  <si>
    <t>Enriquez</t>
  </si>
  <si>
    <t>venriquez@tiak12.com</t>
  </si>
  <si>
    <t>520-730-4120</t>
  </si>
  <si>
    <t>Brian</t>
  </si>
  <si>
    <t>Beebe</t>
  </si>
  <si>
    <t>bbeeb@tiak12.com</t>
  </si>
  <si>
    <t>520-261-4142</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</si>
  <si>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</si>
  <si>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</si>
  <si>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</si>
  <si>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</si>
  <si>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</si>
  <si>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</si>
  <si>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</si>
  <si>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</si>
  <si>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</si>
  <si>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</si>
  <si>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</si>
  <si>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</si>
  <si>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</si>
  <si>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</si>
  <si>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 xml:space="preserve">Quickbooks Enterprise </t>
  </si>
  <si>
    <t>www.tucsoninternationalacademy.com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</si>
</sst>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s>
  <fonts count="46">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0">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cellStyleXfs>
  <cellXfs count="581">
    <xf numFmtId="0" fontId="0" fillId="0" borderId="0" xfId="0"/>
    <xf numFmtId="49" fontId="0" fillId="0" borderId="3" xfId="0" applyNumberFormat="1" applyBorder="1" applyAlignment="1" applyProtection="1">
      <alignment horizontal="center"/>
      <protection locked="0"/>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179" fontId="0" fillId="0" borderId="3" xfId="0" applyNumberFormat="1" applyBorder="1" applyProtection="1">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3"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40" fontId="0" fillId="0" borderId="2" xfId="0" applyNumberFormat="1" applyBorder="1" applyAlignment="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43" fillId="0" borderId="0" xfId="0" applyFont="1" applyAlignment="1">
      <alignment horizontal="center" vertical="center" wrapText="1"/>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0" fontId="1"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31" fillId="0" borderId="0" xfId="0" applyFont="1" applyAlignment="1">
      <alignment horizontal="center"/>
    </xf>
    <xf numFmtId="0" fontId="0" fillId="0" borderId="0" xfId="0" applyAlignment="1">
      <alignment horizontal="left"/>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0" fillId="0" borderId="3" xfId="0" applyBorder="1" applyProtection="1">
      <protection locked="0"/>
    </xf>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 fillId="0" borderId="4" xfId="6" applyBorder="1" applyAlignment="1" applyProtection="1">
      <alignment horizontal="center" vertical="center"/>
    </xf>
    <xf numFmtId="49" fontId="0" fillId="0" borderId="3" xfId="0" applyNumberFormat="1" applyBorder="1" applyAlignment="1" applyProtection="1">
      <alignment horizontal="center"/>
      <protection locked="0"/>
    </xf>
    <xf numFmtId="0" fontId="0" fillId="0" borderId="12" xfId="0" applyBorder="1" applyAlignment="1">
      <alignment horizontal="center"/>
    </xf>
    <xf numFmtId="0" fontId="0" fillId="0" borderId="3" xfId="0" applyBorder="1" applyAlignment="1" applyProtection="1">
      <alignment horizontal="left"/>
      <protection locked="0"/>
    </xf>
    <xf numFmtId="0" fontId="10" fillId="0" borderId="0" xfId="6" applyFont="1" applyAlignment="1" applyProtection="1">
      <alignment horizontal="center"/>
    </xf>
    <xf numFmtId="0" fontId="10" fillId="0" borderId="4" xfId="6" applyFont="1" applyBorder="1" applyAlignment="1" applyProtection="1">
      <alignment horizontal="center"/>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167" fontId="0" fillId="0" borderId="17" xfId="0" applyNumberFormat="1" applyBorder="1" applyAlignment="1" applyProtection="1">
      <alignment horizontal="left"/>
      <protection locked="0"/>
    </xf>
    <xf numFmtId="0" fontId="0" fillId="0" borderId="0" xfId="0" applyAlignment="1">
      <alignment horizontal="center"/>
    </xf>
    <xf numFmtId="49" fontId="0" fillId="0" borderId="3" xfId="0" applyNumberFormat="1" applyBorder="1" applyProtection="1">
      <protection locked="0"/>
    </xf>
    <xf numFmtId="0" fontId="0" fillId="0" borderId="3" xfId="0" applyBorder="1" applyAlignment="1" applyProtection="1">
      <alignment horizontal="center"/>
      <protection locked="0"/>
    </xf>
    <xf numFmtId="0" fontId="0" fillId="0" borderId="18" xfId="0" applyBorder="1" applyProtection="1">
      <protection locked="0"/>
    </xf>
    <xf numFmtId="0" fontId="0" fillId="0" borderId="16" xfId="0" applyBorder="1" applyProtection="1">
      <protection locked="0"/>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0" xfId="0" applyAlignment="1">
      <alignment horizontal="left" vertical="center"/>
    </xf>
    <xf numFmtId="0" fontId="0" fillId="0" borderId="4" xfId="0" applyBorder="1" applyAlignment="1">
      <alignment horizontal="left" vertical="center"/>
    </xf>
    <xf numFmtId="0" fontId="11" fillId="0" borderId="0" xfId="0" applyFont="1" applyAlignment="1">
      <alignment horizontal="left" vertical="center"/>
    </xf>
    <xf numFmtId="0" fontId="0" fillId="0" borderId="0" xfId="0" applyAlignment="1">
      <alignment horizontal="left" wrapText="1"/>
    </xf>
    <xf numFmtId="0" fontId="0" fillId="0" borderId="4" xfId="0" applyBorder="1" applyAlignment="1">
      <alignment horizontal="left"/>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3" xfId="0" applyBorder="1" applyAlignment="1">
      <alignment horizontal="center"/>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16" fillId="0" borderId="0" xfId="0" applyFont="1" applyAlignment="1">
      <alignment horizontal="left" vertical="top" wrapText="1"/>
    </xf>
    <xf numFmtId="0" fontId="24" fillId="0" borderId="2" xfId="0" applyFont="1" applyBorder="1" applyAlignment="1" applyProtection="1">
      <alignment horizontal="left" vertical="center" wrapText="1"/>
      <protection locked="0"/>
    </xf>
    <xf numFmtId="178" fontId="0" fillId="0" borderId="17" xfId="0" applyNumberFormat="1" applyBorder="1" applyProtection="1">
      <protection locked="0"/>
    </xf>
    <xf numFmtId="178" fontId="0" fillId="0" borderId="16" xfId="0" applyNumberFormat="1" applyBorder="1" applyProtection="1">
      <protection locked="0"/>
    </xf>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applyAlignment="1">
      <alignment horizontal="left" vertical="center"/>
    </xf>
    <xf numFmtId="178" fontId="0" fillId="0" borderId="17" xfId="0" applyNumberFormat="1" applyBorder="1" applyAlignment="1">
      <alignment horizontal="right"/>
    </xf>
    <xf numFmtId="178" fontId="0" fillId="0" borderId="16" xfId="0" applyNumberFormat="1" applyBorder="1" applyAlignment="1">
      <alignment horizontal="right"/>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0" borderId="2" xfId="0" applyBorder="1"/>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178" fontId="0" fillId="0" borderId="3" xfId="0" applyNumberFormat="1" applyBorder="1" applyProtection="1">
      <protection locked="0"/>
    </xf>
    <xf numFmtId="178" fontId="0" fillId="0" borderId="6" xfId="0" applyNumberFormat="1" applyBorder="1" applyProtection="1">
      <protection locked="0"/>
    </xf>
    <xf numFmtId="0" fontId="0" fillId="0" borderId="10" xfId="0" applyBorder="1"/>
    <xf numFmtId="0" fontId="0" fillId="0" borderId="3" xfId="0" applyBorder="1"/>
    <xf numFmtId="0" fontId="0" fillId="0" borderId="6" xfId="0" applyBorder="1"/>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8" fontId="0" fillId="0" borderId="10"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0" fontId="0" fillId="8" borderId="0" xfId="0" applyFill="1" applyAlignment="1">
      <alignment horizontal="left" vertical="top" wrapText="1"/>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cellXfs>
  <cellStyles count="10">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3" xfId="8" xr:uid="{00000000-0005-0000-0000-000008000000}"/>
    <cellStyle name="Normal_Worksheet C" xfId="9" xr:uid="{00000000-0005-0000-0000-000009000000}"/>
    <cellStyle name="Percent" xfId="1" xr:uid="{00000000-0005-0000-0000-000001000000}"/>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4%20Budget/Revised/budget23.xls" TargetMode="External"/><Relationship Id="rId1" Type="http://schemas.openxmlformats.org/officeDocument/2006/relationships/externalLinkPath" Target="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1000" refersTo="='Page 3'!$K$8"/>
      <definedName name="_xlbgnm.CSP2100" refersTo="='Page 3'!$K$9"/>
      <definedName name="_xlbgnm.CSP2200" refersTo="='Page 3'!$K$10"/>
      <definedName name="_xlbgnm.CSP2300" refersTo="='Page 3'!$K$11"/>
      <definedName name="_xlbgnm.CSP3300" refersTo="='Page 3'!$K$1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FTEcertified" refersTo="='Page 2'!$N$43"/>
      <definedName name="FTEcontract" refersTo="='Page 2'!$N$45"/>
      <definedName name="FTEnoncertified" refersTo="='Page 2'!$N$44"/>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SP14701499Other" refersTo="='Page 2'!$E$36"/>
      <definedName name="TotalSEIP" refersTo="='Page 4'!$N$22"/>
    </definedNames>
    <sheetDataSet>
      <sheetData sheetId="0">
        <row r="13">
          <cell r="R13">
            <v>7341159</v>
          </cell>
        </row>
      </sheetData>
      <sheetData sheetId="1"/>
      <sheetData sheetId="2">
        <row r="8">
          <cell r="L8">
            <v>1369529</v>
          </cell>
        </row>
        <row r="10">
          <cell r="L10">
            <v>139003</v>
          </cell>
        </row>
        <row r="11">
          <cell r="L11">
            <v>92049</v>
          </cell>
        </row>
        <row r="12">
          <cell r="L12">
            <v>33000</v>
          </cell>
        </row>
        <row r="13">
          <cell r="L13">
            <v>792372</v>
          </cell>
        </row>
        <row r="14">
          <cell r="L14">
            <v>533213</v>
          </cell>
        </row>
        <row r="15">
          <cell r="L15">
            <v>573209</v>
          </cell>
        </row>
        <row r="16">
          <cell r="L16">
            <v>0</v>
          </cell>
        </row>
        <row r="17">
          <cell r="L17">
            <v>363096</v>
          </cell>
        </row>
        <row r="18">
          <cell r="L18">
            <v>0</v>
          </cell>
        </row>
        <row r="19">
          <cell r="L19">
            <v>0</v>
          </cell>
        </row>
        <row r="20">
          <cell r="L20">
            <v>0</v>
          </cell>
        </row>
        <row r="21">
          <cell r="L21">
            <v>4100</v>
          </cell>
        </row>
        <row r="22">
          <cell r="L22">
            <v>30647</v>
          </cell>
        </row>
        <row r="25">
          <cell r="L25">
            <v>127990</v>
          </cell>
        </row>
        <row r="27">
          <cell r="L27">
            <v>218552</v>
          </cell>
        </row>
        <row r="28">
          <cell r="L28">
            <v>36894</v>
          </cell>
        </row>
        <row r="29">
          <cell r="L29">
            <v>0</v>
          </cell>
        </row>
        <row r="30">
          <cell r="L30">
            <v>0</v>
          </cell>
        </row>
        <row r="31">
          <cell r="L31">
            <v>0</v>
          </cell>
        </row>
        <row r="32">
          <cell r="L32">
            <v>0</v>
          </cell>
        </row>
        <row r="33">
          <cell r="L33">
            <v>0</v>
          </cell>
        </row>
        <row r="34">
          <cell r="L34">
            <v>0</v>
          </cell>
        </row>
        <row r="35">
          <cell r="L35">
            <v>0</v>
          </cell>
        </row>
        <row r="36">
          <cell r="L36">
            <v>0</v>
          </cell>
        </row>
        <row r="39">
          <cell r="L39">
            <v>10000</v>
          </cell>
        </row>
        <row r="40">
          <cell r="L40">
            <v>0</v>
          </cell>
        </row>
        <row r="41">
          <cell r="L41">
            <v>0</v>
          </cell>
        </row>
        <row r="42">
          <cell r="L42">
            <v>51884</v>
          </cell>
        </row>
        <row r="44">
          <cell r="L44">
            <v>308089</v>
          </cell>
        </row>
        <row r="45">
          <cell r="L45">
            <v>19079</v>
          </cell>
        </row>
        <row r="46">
          <cell r="L46">
            <v>0</v>
          </cell>
        </row>
        <row r="47">
          <cell r="L47">
            <v>0</v>
          </cell>
        </row>
        <row r="48">
          <cell r="L48">
            <v>1855578</v>
          </cell>
        </row>
      </sheetData>
      <sheetData sheetId="3">
        <row r="5">
          <cell r="E5">
            <v>325200</v>
          </cell>
          <cell r="N5">
            <v>383436</v>
          </cell>
        </row>
        <row r="6">
          <cell r="E6">
            <v>37518</v>
          </cell>
          <cell r="N6">
            <v>0</v>
          </cell>
        </row>
        <row r="7">
          <cell r="E7">
            <v>30200</v>
          </cell>
          <cell r="N7">
            <v>0</v>
          </cell>
        </row>
        <row r="8">
          <cell r="E8">
            <v>0</v>
          </cell>
          <cell r="N8">
            <v>0</v>
          </cell>
        </row>
        <row r="9">
          <cell r="E9">
            <v>25215</v>
          </cell>
          <cell r="N9">
            <v>0</v>
          </cell>
        </row>
        <row r="10">
          <cell r="E10">
            <v>0</v>
          </cell>
          <cell r="N10">
            <v>0</v>
          </cell>
        </row>
        <row r="11">
          <cell r="E11">
            <v>0</v>
          </cell>
          <cell r="N11">
            <v>0</v>
          </cell>
        </row>
        <row r="12">
          <cell r="E12">
            <v>78378</v>
          </cell>
        </row>
        <row r="13">
          <cell r="E13">
            <v>0</v>
          </cell>
        </row>
        <row r="14">
          <cell r="E14">
            <v>0</v>
          </cell>
        </row>
        <row r="15">
          <cell r="E15">
            <v>0</v>
          </cell>
        </row>
        <row r="16">
          <cell r="E16">
            <v>0</v>
          </cell>
        </row>
        <row r="17">
          <cell r="E17">
            <v>0</v>
          </cell>
        </row>
        <row r="18">
          <cell r="E18">
            <v>0</v>
          </cell>
        </row>
        <row r="19">
          <cell r="E19">
            <v>0</v>
          </cell>
        </row>
        <row r="20">
          <cell r="E20">
            <v>0</v>
          </cell>
        </row>
        <row r="21">
          <cell r="E21">
            <v>1359067</v>
          </cell>
          <cell r="N21">
            <v>0</v>
          </cell>
        </row>
        <row r="22">
          <cell r="N22">
            <v>0</v>
          </cell>
        </row>
        <row r="23">
          <cell r="N23">
            <v>0</v>
          </cell>
        </row>
        <row r="24">
          <cell r="E24">
            <v>0</v>
          </cell>
          <cell r="N24">
            <v>19079</v>
          </cell>
        </row>
        <row r="25">
          <cell r="E25">
            <v>0</v>
          </cell>
        </row>
        <row r="26">
          <cell r="E26">
            <v>0</v>
          </cell>
        </row>
        <row r="27">
          <cell r="E27">
            <v>0</v>
          </cell>
        </row>
        <row r="28">
          <cell r="E28">
            <v>0</v>
          </cell>
        </row>
        <row r="29">
          <cell r="E29">
            <v>0</v>
          </cell>
        </row>
        <row r="30">
          <cell r="E30">
            <v>0</v>
          </cell>
        </row>
        <row r="31">
          <cell r="E31">
            <v>0</v>
          </cell>
        </row>
        <row r="33">
          <cell r="E33">
            <v>0</v>
          </cell>
        </row>
        <row r="34">
          <cell r="E34">
            <v>0</v>
          </cell>
        </row>
        <row r="35">
          <cell r="E35">
            <v>0</v>
          </cell>
        </row>
        <row r="36">
          <cell r="E36">
            <v>0</v>
          </cell>
        </row>
        <row r="41">
          <cell r="E41">
            <v>0</v>
          </cell>
        </row>
        <row r="42">
          <cell r="E42">
            <v>0</v>
          </cell>
        </row>
        <row r="43">
          <cell r="E43">
            <v>0</v>
          </cell>
          <cell r="N43">
            <v>8.19</v>
          </cell>
        </row>
        <row r="44">
          <cell r="E44">
            <v>42143</v>
          </cell>
          <cell r="N44">
            <v>21.46</v>
          </cell>
        </row>
        <row r="45">
          <cell r="E45">
            <v>138809</v>
          </cell>
          <cell r="N45">
            <v>2</v>
          </cell>
        </row>
        <row r="46">
          <cell r="E46">
            <v>0</v>
          </cell>
        </row>
      </sheetData>
      <sheetData sheetId="4">
        <row r="8">
          <cell r="K8">
            <v>308089</v>
          </cell>
        </row>
        <row r="9">
          <cell r="K9">
            <v>0</v>
          </cell>
        </row>
        <row r="10">
          <cell r="K10">
            <v>0</v>
          </cell>
        </row>
        <row r="11">
          <cell r="K11">
            <v>0</v>
          </cell>
        </row>
        <row r="12">
          <cell r="K12">
            <v>0</v>
          </cell>
        </row>
        <row r="13">
          <cell r="K13">
            <v>308089</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workbookViewId="0">
      <selection activeCell="Y7" sqref="Y7"/>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65" t="s">
        <v>182</v>
      </c>
      <c r="B1" s="466"/>
      <c r="C1" s="466"/>
      <c r="D1" s="469" t="s">
        <v>518</v>
      </c>
      <c r="E1" s="469"/>
      <c r="F1" s="469"/>
      <c r="G1" s="469"/>
      <c r="H1" s="469"/>
      <c r="I1" s="469"/>
      <c r="L1" s="111" t="s">
        <v>128</v>
      </c>
      <c r="M1" s="459" t="s">
        <v>519</v>
      </c>
      <c r="N1" s="459"/>
      <c r="O1" s="143" t="s">
        <v>221</v>
      </c>
      <c r="P1" s="1" t="s">
        <v>520</v>
      </c>
      <c r="Q1" s="144"/>
    </row>
    <row r="2" spans="1:18" ht="12.75" customHeight="1">
      <c r="D2" s="460" t="s">
        <v>215</v>
      </c>
      <c r="E2" s="460"/>
      <c r="F2" s="460"/>
      <c r="G2" s="460"/>
      <c r="H2" s="460"/>
      <c r="I2" s="460"/>
      <c r="M2" s="145"/>
      <c r="Q2" s="145"/>
      <c r="R2" s="114"/>
    </row>
    <row r="3" spans="1:18" ht="12.75" customHeight="1">
      <c r="D3" s="455"/>
      <c r="E3" s="455"/>
      <c r="F3" s="455"/>
      <c r="G3" s="455"/>
      <c r="H3" s="455"/>
      <c r="I3" s="455"/>
      <c r="M3" s="145"/>
      <c r="Q3" s="145"/>
      <c r="R3" s="114"/>
    </row>
    <row r="4" spans="1:18" ht="12.75" customHeight="1">
      <c r="D4" s="460" t="s">
        <v>44</v>
      </c>
      <c r="E4" s="460"/>
      <c r="F4" s="460"/>
      <c r="G4" s="460"/>
      <c r="H4" s="460"/>
      <c r="I4" s="460"/>
      <c r="L4" s="434" t="str">
        <f>IF(OR('Charter Contacts'!G7="",'Charter Contacts'!G8="",'Charter Contacts'!G10="",'Charter Contacts'!G12="",'Charter Contacts'!G13="",'Charter Contacts'!E18="",'Charter Contacts'!E19="",'Charter Contacts'!E20=""),"Please ensure the Charter Contacts tab is complete.","")</f>
        <v>Please ensure the Charter Contacts tab is complete.</v>
      </c>
      <c r="M4" s="434"/>
      <c r="N4" s="434"/>
      <c r="O4" s="434"/>
      <c r="P4" s="434"/>
      <c r="Q4" s="434"/>
      <c r="R4" s="434"/>
    </row>
    <row r="5" spans="1:18" ht="12.75" customHeight="1">
      <c r="L5" s="434" t="str">
        <f>IF('Charter Contacts'!C29="","Please enter a SIS Vendor on the Charter Contacts tab.","")</f>
        <v/>
      </c>
      <c r="M5" s="434"/>
      <c r="N5" s="434"/>
      <c r="O5" s="434"/>
      <c r="P5" s="434"/>
      <c r="Q5" s="434"/>
      <c r="R5" s="434"/>
    </row>
    <row r="6" spans="1:18" ht="18" customHeight="1">
      <c r="A6" s="145"/>
      <c r="B6" s="446" t="s">
        <v>469</v>
      </c>
      <c r="C6" s="446"/>
      <c r="D6" s="446"/>
      <c r="E6" s="446"/>
      <c r="F6" s="446"/>
      <c r="G6" s="446"/>
      <c r="H6" s="446"/>
      <c r="I6" s="446"/>
      <c r="J6" s="98"/>
      <c r="K6" s="147" t="s">
        <v>17</v>
      </c>
      <c r="L6" s="448" t="s">
        <v>482</v>
      </c>
      <c r="M6" s="448"/>
      <c r="N6" s="448"/>
      <c r="O6" s="448"/>
      <c r="P6" s="448"/>
      <c r="Q6" s="34" t="s">
        <v>0</v>
      </c>
      <c r="R6" s="148">
        <f>[1]Cover!$R$13</f>
        <v>7341159</v>
      </c>
    </row>
    <row r="7" spans="1:18">
      <c r="A7" s="145"/>
      <c r="B7" s="145"/>
      <c r="C7" s="145"/>
      <c r="D7" s="145"/>
      <c r="E7" s="145"/>
      <c r="F7" s="145"/>
      <c r="G7" s="145"/>
      <c r="J7" s="98"/>
      <c r="K7" s="147"/>
      <c r="L7" s="448"/>
      <c r="M7" s="448"/>
      <c r="N7" s="448"/>
      <c r="O7" s="448"/>
      <c r="P7" s="448"/>
      <c r="Q7" s="34"/>
      <c r="R7" s="149"/>
    </row>
    <row r="8" spans="1:18" ht="18" customHeight="1">
      <c r="A8" s="145"/>
      <c r="B8" s="446" t="s">
        <v>179</v>
      </c>
      <c r="C8" s="446"/>
      <c r="D8" s="446"/>
      <c r="E8" s="446"/>
      <c r="F8" s="446"/>
      <c r="G8" s="446"/>
      <c r="H8" s="446"/>
      <c r="I8" s="446"/>
      <c r="J8" s="150"/>
      <c r="K8" s="147" t="s">
        <v>18</v>
      </c>
      <c r="L8" s="456" t="s">
        <v>474</v>
      </c>
      <c r="M8" s="456"/>
      <c r="N8" s="457"/>
      <c r="O8" s="457"/>
      <c r="P8" s="457"/>
      <c r="Q8" s="457"/>
      <c r="R8" s="149"/>
    </row>
    <row r="9" spans="1:18">
      <c r="A9" s="145"/>
      <c r="B9" s="145"/>
      <c r="C9" s="145"/>
      <c r="D9" s="145"/>
      <c r="E9" s="145"/>
      <c r="F9" s="145"/>
      <c r="G9" s="145"/>
      <c r="J9" s="98"/>
      <c r="L9" s="145"/>
      <c r="M9" s="145"/>
      <c r="N9" s="145"/>
      <c r="O9" t="s">
        <v>1</v>
      </c>
      <c r="P9" s="151" t="s">
        <v>2</v>
      </c>
      <c r="Q9" s="34" t="s">
        <v>0</v>
      </c>
      <c r="R9" s="5">
        <v>84000</v>
      </c>
    </row>
    <row r="10" spans="1:18" ht="12.75" customHeight="1">
      <c r="A10" s="145"/>
      <c r="B10" s="447" t="s">
        <v>180</v>
      </c>
      <c r="C10" s="447"/>
      <c r="D10" s="447"/>
      <c r="E10" s="447"/>
      <c r="F10" s="447"/>
      <c r="G10" s="447"/>
      <c r="H10" s="447"/>
      <c r="I10" s="447"/>
      <c r="J10" s="458"/>
      <c r="K10" s="147"/>
      <c r="L10" s="152"/>
      <c r="M10" s="152"/>
      <c r="N10" s="152"/>
      <c r="O10" t="s">
        <v>4</v>
      </c>
      <c r="P10" s="151" t="s">
        <v>5</v>
      </c>
      <c r="Q10" s="34" t="s">
        <v>0</v>
      </c>
      <c r="R10" s="5"/>
    </row>
    <row r="11" spans="1:18" ht="12.75" customHeight="1">
      <c r="A11" s="145"/>
      <c r="B11" s="447"/>
      <c r="C11" s="447"/>
      <c r="D11" s="447"/>
      <c r="E11" s="447"/>
      <c r="F11" s="447"/>
      <c r="G11" s="447"/>
      <c r="H11" s="447"/>
      <c r="I11" s="447"/>
      <c r="J11" s="458"/>
      <c r="O11" t="s">
        <v>3</v>
      </c>
      <c r="P11" s="151" t="s">
        <v>33</v>
      </c>
      <c r="Q11" s="34" t="s">
        <v>0</v>
      </c>
      <c r="R11" s="5">
        <v>4454007</v>
      </c>
    </row>
    <row r="12" spans="1:18" ht="12.75" customHeight="1">
      <c r="A12" s="145"/>
      <c r="B12" s="145"/>
      <c r="C12" s="145"/>
      <c r="D12" s="455" t="s">
        <v>524</v>
      </c>
      <c r="E12" s="455"/>
      <c r="F12" s="455"/>
      <c r="G12" s="455"/>
      <c r="H12" s="455"/>
      <c r="J12" s="98"/>
      <c r="O12" t="s">
        <v>6</v>
      </c>
      <c r="P12" s="151" t="s">
        <v>34</v>
      </c>
      <c r="Q12" s="34" t="s">
        <v>0</v>
      </c>
      <c r="R12" s="5">
        <v>1006114</v>
      </c>
    </row>
    <row r="13" spans="1:18" ht="12.75" customHeight="1">
      <c r="B13" s="453" t="s">
        <v>38</v>
      </c>
      <c r="C13" s="453"/>
      <c r="D13" s="454"/>
      <c r="E13" s="454"/>
      <c r="F13" s="454"/>
      <c r="G13" s="454"/>
      <c r="H13" s="454"/>
      <c r="I13" s="453"/>
      <c r="J13" s="98"/>
      <c r="O13" t="s">
        <v>19</v>
      </c>
      <c r="Q13" s="34" t="s">
        <v>0</v>
      </c>
      <c r="R13" s="148">
        <f>SUM(R9:R12)</f>
        <v>5544121</v>
      </c>
    </row>
    <row r="14" spans="1:18" ht="12.75" customHeight="1">
      <c r="J14" s="98"/>
      <c r="P14" s="151"/>
      <c r="Q14" s="34"/>
      <c r="R14" s="149"/>
    </row>
    <row r="15" spans="1:18" ht="12.75" customHeight="1">
      <c r="J15" s="98"/>
      <c r="L15" s="451" t="s">
        <v>216</v>
      </c>
      <c r="M15" s="451"/>
      <c r="N15" s="451"/>
      <c r="O15" s="461" t="s">
        <v>521</v>
      </c>
      <c r="P15" s="461"/>
      <c r="Q15" s="461"/>
      <c r="R15" s="461"/>
    </row>
    <row r="16" spans="1:18" ht="12.75" customHeight="1">
      <c r="A16" s="114"/>
      <c r="B16" s="468" t="s">
        <v>181</v>
      </c>
      <c r="C16" s="468"/>
      <c r="D16" s="468"/>
      <c r="E16" s="468"/>
      <c r="F16" s="468"/>
      <c r="G16" s="468"/>
      <c r="H16" s="468"/>
      <c r="I16" s="468"/>
      <c r="J16" s="98"/>
      <c r="L16" t="s">
        <v>53</v>
      </c>
      <c r="M16" s="445">
        <v>5207923255</v>
      </c>
      <c r="N16" s="445"/>
      <c r="O16" s="34" t="s">
        <v>54</v>
      </c>
      <c r="P16" s="464" t="s">
        <v>522</v>
      </c>
      <c r="Q16" s="464"/>
      <c r="R16" s="464"/>
    </row>
    <row r="17" spans="1:21" ht="12.75" customHeight="1">
      <c r="J17" s="98"/>
      <c r="P17" s="151"/>
      <c r="Q17" s="34"/>
      <c r="R17" s="149"/>
    </row>
    <row r="18" spans="1:21" ht="12.75" customHeight="1">
      <c r="J18" s="98"/>
      <c r="L18" s="451" t="s">
        <v>476</v>
      </c>
      <c r="M18" s="451"/>
      <c r="N18" s="451"/>
      <c r="O18" s="451"/>
      <c r="P18" s="451"/>
      <c r="Q18" s="451"/>
      <c r="R18" s="451"/>
    </row>
    <row r="19" spans="1:21" ht="12.75" customHeight="1">
      <c r="B19" s="468" t="s">
        <v>475</v>
      </c>
      <c r="C19" s="468"/>
      <c r="D19" s="468"/>
      <c r="E19" s="468"/>
      <c r="F19" s="468"/>
      <c r="G19" s="468"/>
      <c r="H19" s="468"/>
      <c r="I19" s="468"/>
      <c r="J19" s="98"/>
      <c r="L19" s="451" t="s">
        <v>477</v>
      </c>
      <c r="M19" s="451"/>
      <c r="N19" s="451"/>
      <c r="O19" s="451"/>
      <c r="P19" s="449">
        <v>45329</v>
      </c>
      <c r="Q19" s="449"/>
      <c r="R19" s="449"/>
    </row>
    <row r="20" spans="1:21" ht="12.75" customHeight="1">
      <c r="C20" s="451" t="s">
        <v>39</v>
      </c>
      <c r="D20" s="451"/>
      <c r="F20" s="449">
        <v>45099</v>
      </c>
      <c r="G20" s="449"/>
      <c r="H20" s="449"/>
      <c r="I20" s="153" t="str">
        <f>IF(AND(ISNUMBER(SEARCH("Proposed*",D12)),F20=""),"Please enter a Proposed Date","")</f>
        <v/>
      </c>
      <c r="J20" s="98"/>
      <c r="L20" s="450" t="s">
        <v>166</v>
      </c>
      <c r="M20" s="450"/>
      <c r="N20" s="450"/>
      <c r="O20" s="450"/>
      <c r="P20" s="452" t="s">
        <v>217</v>
      </c>
      <c r="Q20" s="452"/>
      <c r="R20" s="452"/>
    </row>
    <row r="21" spans="1:21" ht="12.75" customHeight="1">
      <c r="C21" s="451" t="s">
        <v>40</v>
      </c>
      <c r="D21" s="451"/>
      <c r="F21" s="467">
        <v>45120</v>
      </c>
      <c r="G21" s="467"/>
      <c r="H21" s="467"/>
      <c r="I21" s="153" t="str">
        <f>IF(AND(ISNUMBER(SEARCH("Adopted*",D12)),F21=""),"Please enter an Adopted Date","")</f>
        <v/>
      </c>
      <c r="J21" s="98"/>
      <c r="L21" s="444"/>
      <c r="M21" s="444"/>
      <c r="N21" s="444"/>
      <c r="O21" s="444"/>
      <c r="P21" s="444"/>
      <c r="Q21" s="444"/>
      <c r="R21" s="444"/>
    </row>
    <row r="22" spans="1:21" ht="12.75" customHeight="1">
      <c r="A22" s="114"/>
      <c r="C22" s="451" t="s">
        <v>41</v>
      </c>
      <c r="D22" s="451"/>
      <c r="F22" s="467">
        <v>45328</v>
      </c>
      <c r="G22" s="467"/>
      <c r="H22" s="467"/>
      <c r="I22" s="155" t="str">
        <f>IF(AND(ISNUMBER(SEARCH("Revised*",D12)),F22=""),"Please enter a Revised Date","")</f>
        <v/>
      </c>
      <c r="J22" s="156"/>
      <c r="L22" s="455"/>
      <c r="M22" s="455"/>
      <c r="N22" s="455"/>
      <c r="O22" s="157"/>
      <c r="P22" s="455"/>
      <c r="Q22" s="455"/>
      <c r="R22" s="455"/>
    </row>
    <row r="23" spans="1:21" ht="12.75" customHeight="1">
      <c r="F23" s="460" t="s">
        <v>42</v>
      </c>
      <c r="G23" s="460"/>
      <c r="H23" s="460"/>
      <c r="J23" s="98"/>
      <c r="L23" s="460" t="s">
        <v>218</v>
      </c>
      <c r="M23" s="460"/>
      <c r="N23" s="460"/>
      <c r="O23" s="158"/>
      <c r="P23" s="460" t="s">
        <v>218</v>
      </c>
      <c r="Q23" s="460"/>
      <c r="R23" s="460"/>
      <c r="S23" s="159"/>
      <c r="T23" s="159"/>
      <c r="U23" s="159"/>
    </row>
    <row r="24" spans="1:21" ht="12.75" customHeight="1">
      <c r="B24" s="43"/>
      <c r="E24" s="160"/>
      <c r="J24" s="98"/>
    </row>
    <row r="25" spans="1:21" ht="12.75" customHeight="1">
      <c r="A25" s="462"/>
      <c r="B25" s="462"/>
      <c r="C25" s="462"/>
      <c r="D25" s="462"/>
      <c r="E25" s="462"/>
      <c r="F25" s="462"/>
      <c r="G25" s="462"/>
      <c r="H25" s="462"/>
      <c r="I25" s="462"/>
      <c r="J25" s="463"/>
      <c r="L25" s="450" t="str">
        <f>IF(OR(L26="",P26=""),"Please enter typed school official names","")</f>
        <v/>
      </c>
      <c r="M25" s="450"/>
      <c r="N25" s="450"/>
      <c r="O25" s="450"/>
      <c r="P25" s="450"/>
      <c r="Q25" s="450"/>
      <c r="R25" s="450"/>
      <c r="U25" s="161"/>
    </row>
    <row r="26" spans="1:21" ht="12.75" customHeight="1">
      <c r="A26" s="462"/>
      <c r="B26" s="462"/>
      <c r="C26" s="462"/>
      <c r="D26" s="462"/>
      <c r="E26" s="462"/>
      <c r="F26" s="462"/>
      <c r="G26" s="462"/>
      <c r="H26" s="462"/>
      <c r="I26" s="462"/>
      <c r="J26" s="463"/>
      <c r="L26" s="455" t="s">
        <v>521</v>
      </c>
      <c r="M26" s="455"/>
      <c r="N26" s="455"/>
      <c r="O26" s="158"/>
      <c r="P26" s="455" t="s">
        <v>523</v>
      </c>
      <c r="Q26" s="455"/>
      <c r="R26" s="455"/>
    </row>
    <row r="27" spans="1:21" ht="12.75" customHeight="1">
      <c r="A27" s="462"/>
      <c r="B27" s="462"/>
      <c r="C27" s="462"/>
      <c r="D27" s="462"/>
      <c r="E27" s="462"/>
      <c r="F27" s="462"/>
      <c r="G27" s="462"/>
      <c r="H27" s="462"/>
      <c r="I27" s="462"/>
      <c r="J27" s="463"/>
      <c r="L27" s="460" t="s">
        <v>219</v>
      </c>
      <c r="M27" s="460"/>
      <c r="N27" s="460"/>
      <c r="O27" s="158"/>
      <c r="P27" s="460" t="s">
        <v>219</v>
      </c>
      <c r="Q27" s="460"/>
      <c r="R27" s="460"/>
    </row>
    <row r="28" spans="1:21" ht="12.75" customHeight="1">
      <c r="B28" s="114"/>
      <c r="C28" s="43"/>
      <c r="D28" s="43"/>
      <c r="F28" s="114"/>
      <c r="G28" s="162"/>
      <c r="H28" s="145"/>
      <c r="I28" s="145"/>
      <c r="J28" s="150"/>
    </row>
    <row r="29" spans="1:21" ht="12.75" customHeight="1">
      <c r="A29" s="455"/>
      <c r="B29" s="455"/>
      <c r="C29" s="455"/>
      <c r="D29" s="455"/>
      <c r="E29" s="455"/>
      <c r="F29" s="114"/>
      <c r="G29" s="470"/>
      <c r="H29" s="470"/>
      <c r="I29" s="470"/>
      <c r="J29" s="150"/>
      <c r="L29" s="456" t="s">
        <v>220</v>
      </c>
      <c r="M29" s="456"/>
      <c r="N29" s="457"/>
      <c r="O29" s="457"/>
      <c r="P29" s="457"/>
      <c r="Q29" s="457"/>
      <c r="R29" s="457"/>
      <c r="S29" s="456"/>
    </row>
    <row r="30" spans="1:21" ht="12.75" customHeight="1" thickBot="1">
      <c r="H30" s="145"/>
      <c r="I30" s="145"/>
      <c r="J30" s="150"/>
      <c r="L30" s="450" t="str">
        <f>IF((BudgetYearSalary)=0,"Average teacher salary information is not complete.",IF(AND((PriorYearSalary)=0,(L31)=""),"Average teacher salary information is not complete.",""))</f>
        <v/>
      </c>
      <c r="M30" s="450"/>
      <c r="N30" s="450"/>
      <c r="O30" s="450"/>
      <c r="P30" s="450"/>
      <c r="Q30" s="450"/>
      <c r="R30" s="450"/>
      <c r="S30" s="154"/>
    </row>
    <row r="31" spans="1:21" ht="12.75" customHeight="1" thickBot="1">
      <c r="A31" s="455"/>
      <c r="B31" s="455"/>
      <c r="C31" s="455"/>
      <c r="D31" s="455"/>
      <c r="E31" s="455"/>
      <c r="F31" s="114"/>
      <c r="G31" s="470"/>
      <c r="H31" s="470"/>
      <c r="I31" s="470"/>
      <c r="J31" s="98"/>
      <c r="L31" s="28"/>
      <c r="M31" s="164" t="s">
        <v>481</v>
      </c>
      <c r="N31" s="102"/>
      <c r="O31" s="102"/>
      <c r="P31" s="102"/>
      <c r="Q31" s="102"/>
      <c r="R31" s="102"/>
    </row>
    <row r="32" spans="1:21" ht="12.75" customHeight="1">
      <c r="J32" s="98"/>
      <c r="L32" s="164" t="s">
        <v>478</v>
      </c>
      <c r="M32" s="165"/>
      <c r="N32" s="165"/>
      <c r="O32" s="166"/>
      <c r="P32" s="166"/>
      <c r="Q32" s="34" t="s">
        <v>0</v>
      </c>
      <c r="R32" s="5">
        <v>42569</v>
      </c>
      <c r="S32" s="167" t="str">
        <f>IF(OR(BudgetYearSalary=0,PriorYearSalary=0),1/ERROR,"")</f>
        <v/>
      </c>
    </row>
    <row r="33" spans="1:18" ht="12.75" customHeight="1">
      <c r="A33" s="455"/>
      <c r="B33" s="455"/>
      <c r="C33" s="455"/>
      <c r="D33" s="455"/>
      <c r="E33" s="455"/>
      <c r="F33" s="114"/>
      <c r="G33" s="470"/>
      <c r="H33" s="470"/>
      <c r="I33" s="470"/>
      <c r="J33" s="98"/>
      <c r="L33" s="164" t="s">
        <v>479</v>
      </c>
      <c r="O33" s="166"/>
      <c r="P33" s="166"/>
      <c r="Q33" s="34" t="s">
        <v>0</v>
      </c>
      <c r="R33" s="5">
        <v>43091</v>
      </c>
    </row>
    <row r="34" spans="1:18" ht="12.75" customHeight="1">
      <c r="J34" s="98"/>
      <c r="L34" s="164" t="s">
        <v>480</v>
      </c>
      <c r="O34" s="166"/>
      <c r="P34" s="166"/>
      <c r="Q34" s="34" t="s">
        <v>0</v>
      </c>
      <c r="R34" s="148">
        <f>R32-R33</f>
        <v>-522</v>
      </c>
    </row>
    <row r="35" spans="1:18" ht="12.75" customHeight="1">
      <c r="A35" s="455"/>
      <c r="B35" s="455"/>
      <c r="C35" s="455"/>
      <c r="D35" s="455"/>
      <c r="E35" s="455"/>
      <c r="F35" s="114"/>
      <c r="G35" s="470"/>
      <c r="H35" s="470"/>
      <c r="I35" s="470"/>
      <c r="J35" s="98"/>
      <c r="L35" s="164" t="s">
        <v>104</v>
      </c>
      <c r="Q35" s="34"/>
      <c r="R35" s="168">
        <f>IF(PriorYearSalary&gt;0,R34/R33,0)</f>
        <v>-1.2E-2</v>
      </c>
    </row>
    <row r="36" spans="1:18" ht="12.75" customHeight="1">
      <c r="D36" s="145"/>
      <c r="E36" s="145"/>
      <c r="F36" s="145"/>
      <c r="G36" s="145"/>
      <c r="J36" s="98"/>
      <c r="L36" s="435" t="s">
        <v>164</v>
      </c>
      <c r="M36" s="436"/>
      <c r="N36" s="436"/>
      <c r="O36" s="436"/>
      <c r="P36" s="436"/>
      <c r="Q36" s="436"/>
      <c r="R36" s="437"/>
    </row>
    <row r="37" spans="1:18" ht="12.75" customHeight="1">
      <c r="A37" s="455"/>
      <c r="B37" s="455"/>
      <c r="C37" s="455"/>
      <c r="D37" s="455"/>
      <c r="E37" s="455"/>
      <c r="F37" s="114"/>
      <c r="G37" s="470"/>
      <c r="H37" s="470"/>
      <c r="I37" s="470"/>
      <c r="K37" s="57"/>
      <c r="L37" s="438"/>
      <c r="M37" s="439"/>
      <c r="N37" s="439"/>
      <c r="O37" s="439"/>
      <c r="P37" s="439"/>
      <c r="Q37" s="439"/>
      <c r="R37" s="440"/>
    </row>
    <row r="38" spans="1:18" ht="12.75" customHeight="1">
      <c r="D38" s="145"/>
      <c r="E38" s="145"/>
      <c r="F38" s="145"/>
      <c r="G38" s="145"/>
      <c r="K38" s="57"/>
      <c r="L38" s="438"/>
      <c r="M38" s="439"/>
      <c r="N38" s="439"/>
      <c r="O38" s="439"/>
      <c r="P38" s="439"/>
      <c r="Q38" s="439"/>
      <c r="R38" s="440"/>
    </row>
    <row r="39" spans="1:18" ht="12.75" customHeight="1">
      <c r="A39" s="455"/>
      <c r="B39" s="455"/>
      <c r="C39" s="455"/>
      <c r="D39" s="455"/>
      <c r="E39" s="455"/>
      <c r="F39" s="114"/>
      <c r="G39" s="470"/>
      <c r="H39" s="470"/>
      <c r="I39" s="470"/>
      <c r="K39" s="57"/>
      <c r="L39" s="438"/>
      <c r="M39" s="439"/>
      <c r="N39" s="439"/>
      <c r="O39" s="439"/>
      <c r="P39" s="439"/>
      <c r="Q39" s="439"/>
      <c r="R39" s="440"/>
    </row>
    <row r="40" spans="1:18" ht="12.75" customHeight="1">
      <c r="D40" s="145"/>
      <c r="E40" s="145"/>
      <c r="F40" s="145"/>
      <c r="G40" s="145"/>
      <c r="K40" s="57"/>
      <c r="L40" s="438"/>
      <c r="M40" s="439"/>
      <c r="N40" s="439"/>
      <c r="O40" s="439"/>
      <c r="P40" s="439"/>
      <c r="Q40" s="439"/>
      <c r="R40" s="440"/>
    </row>
    <row r="41" spans="1:18" ht="12.75" customHeight="1">
      <c r="A41" s="455"/>
      <c r="B41" s="455"/>
      <c r="C41" s="455"/>
      <c r="D41" s="455"/>
      <c r="E41" s="455"/>
      <c r="F41" s="114"/>
      <c r="G41" s="470"/>
      <c r="H41" s="470"/>
      <c r="I41" s="470"/>
      <c r="K41" s="57"/>
      <c r="L41" s="438"/>
      <c r="M41" s="439"/>
      <c r="N41" s="439"/>
      <c r="O41" s="439"/>
      <c r="P41" s="439"/>
      <c r="Q41" s="439"/>
      <c r="R41" s="440"/>
    </row>
    <row r="42" spans="1:18" ht="12.75" customHeight="1">
      <c r="A42" s="460" t="s">
        <v>183</v>
      </c>
      <c r="B42" s="460"/>
      <c r="C42" s="460"/>
      <c r="D42" s="460"/>
      <c r="E42" s="460"/>
      <c r="F42" s="169"/>
      <c r="G42" s="460" t="s">
        <v>184</v>
      </c>
      <c r="H42" s="460"/>
      <c r="I42" s="460"/>
      <c r="K42" s="57"/>
      <c r="L42" s="441"/>
      <c r="M42" s="442"/>
      <c r="N42" s="442"/>
      <c r="O42" s="442"/>
      <c r="P42" s="442"/>
      <c r="Q42" s="442"/>
      <c r="R42" s="443"/>
    </row>
  </sheetData>
  <sheetProtection sheet="1" formatColumns="0" formatRows="0"/>
  <mergeCells count="68">
    <mergeCell ref="L29:S29"/>
    <mergeCell ref="L30:R30"/>
    <mergeCell ref="G39:I39"/>
    <mergeCell ref="P23:R23"/>
    <mergeCell ref="P27:R27"/>
    <mergeCell ref="P26:R26"/>
    <mergeCell ref="A27:J27"/>
    <mergeCell ref="F23:H23"/>
    <mergeCell ref="A42:E42"/>
    <mergeCell ref="A37:E37"/>
    <mergeCell ref="A39:E39"/>
    <mergeCell ref="G41:I41"/>
    <mergeCell ref="G42:I42"/>
    <mergeCell ref="A41:E41"/>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L15:N15"/>
    <mergeCell ref="L22:N22"/>
    <mergeCell ref="L18:R18"/>
    <mergeCell ref="L8:Q8"/>
    <mergeCell ref="B11:I11"/>
    <mergeCell ref="L19:O19"/>
    <mergeCell ref="J10:J11"/>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zoomScaleNormal="100" workbookViewId="0">
      <selection activeCell="B8" sqref="B8"/>
    </sheetView>
  </sheetViews>
  <sheetFormatPr defaultColWidth="9" defaultRowHeight="12.75"/>
  <cols>
    <col min="1" max="1" width="43.85546875" style="138" bestFit="1" customWidth="1"/>
    <col min="2" max="2" width="22.140625" style="138" bestFit="1" customWidth="1"/>
    <col min="3" max="3" width="22.140625" style="138" customWidth="1"/>
    <col min="4" max="4" width="22.140625" style="138" bestFit="1" customWidth="1"/>
    <col min="5" max="5" width="22.140625" style="138" customWidth="1"/>
    <col min="6" max="6" width="17.42578125" style="138" customWidth="1"/>
    <col min="7" max="7" width="22.140625" style="138" customWidth="1"/>
    <col min="8" max="8" width="17.5703125" style="138" bestFit="1" customWidth="1"/>
    <col min="9" max="9" width="14.42578125" style="138" customWidth="1"/>
    <col min="10" max="10" width="14.5703125" style="138" customWidth="1"/>
    <col min="11" max="12" width="9" style="138" customWidth="1"/>
    <col min="13" max="16384" width="9" style="138"/>
  </cols>
  <sheetData>
    <row r="1" spans="1:10">
      <c r="A1" s="38" t="s">
        <v>182</v>
      </c>
      <c r="B1" s="491" t="str">
        <f>CharterName</f>
        <v>Tucson International Academy</v>
      </c>
      <c r="C1" s="491"/>
      <c r="D1" s="38" t="s">
        <v>128</v>
      </c>
      <c r="E1" s="579" t="str">
        <f>Cover!M1</f>
        <v>Pima</v>
      </c>
      <c r="F1" s="491"/>
      <c r="G1" s="491"/>
      <c r="H1" s="38" t="s">
        <v>221</v>
      </c>
      <c r="I1" s="492" t="str">
        <f>CTD</f>
        <v>108714000</v>
      </c>
      <c r="J1" s="492"/>
    </row>
    <row r="2" spans="1:10">
      <c r="A2" s="38"/>
      <c r="B2" s="181"/>
      <c r="C2" s="114"/>
      <c r="D2" s="38"/>
      <c r="E2" s="181"/>
      <c r="F2" s="114"/>
      <c r="G2" s="114"/>
      <c r="H2"/>
      <c r="I2" s="38"/>
      <c r="J2" s="114"/>
    </row>
    <row r="3" spans="1:10">
      <c r="A3" s="580" t="str">
        <f>IF(CharterName&lt;&gt;0,CharterName,"")</f>
        <v>Tucson International Academy</v>
      </c>
      <c r="B3" s="580"/>
      <c r="C3" s="580"/>
      <c r="D3" s="580"/>
      <c r="E3" s="580"/>
      <c r="F3" s="580"/>
      <c r="G3" s="580"/>
      <c r="H3" s="580"/>
      <c r="I3" s="580"/>
      <c r="J3" s="580"/>
    </row>
    <row r="4" spans="1:10">
      <c r="A4" s="447" t="s">
        <v>448</v>
      </c>
      <c r="B4" s="447"/>
      <c r="C4" s="447"/>
      <c r="D4" s="447"/>
      <c r="E4" s="447"/>
      <c r="F4" s="447"/>
      <c r="G4" s="447"/>
      <c r="H4" s="447"/>
      <c r="I4" s="447"/>
      <c r="J4" s="447"/>
    </row>
    <row r="5" spans="1:10">
      <c r="A5" s="447" t="s">
        <v>469</v>
      </c>
      <c r="B5" s="447"/>
      <c r="C5" s="447"/>
      <c r="D5" s="447"/>
      <c r="E5" s="447"/>
      <c r="F5" s="447"/>
      <c r="G5" s="447"/>
      <c r="H5" s="447"/>
      <c r="I5" s="447"/>
      <c r="J5" s="447"/>
    </row>
    <row r="6" spans="1:10" s="139" customFormat="1" ht="13.5" thickBot="1">
      <c r="A6" s="182"/>
      <c r="B6" s="182"/>
      <c r="C6" s="182"/>
      <c r="D6" s="182"/>
      <c r="E6" s="182"/>
      <c r="F6" s="182"/>
      <c r="G6" s="182"/>
      <c r="H6" s="182"/>
      <c r="I6" s="182"/>
      <c r="J6" s="183" t="s">
        <v>411</v>
      </c>
    </row>
    <row r="7" spans="1:10" ht="51">
      <c r="A7" s="111" t="s">
        <v>403</v>
      </c>
      <c r="B7" s="184" t="s">
        <v>404</v>
      </c>
      <c r="C7" s="184" t="s">
        <v>405</v>
      </c>
      <c r="D7" s="184" t="s">
        <v>406</v>
      </c>
      <c r="E7" s="184" t="s">
        <v>407</v>
      </c>
      <c r="F7" s="184" t="s">
        <v>408</v>
      </c>
      <c r="G7" s="184" t="s">
        <v>409</v>
      </c>
      <c r="H7" s="184" t="s">
        <v>410</v>
      </c>
      <c r="I7"/>
      <c r="J7"/>
    </row>
    <row r="8" spans="1:10">
      <c r="A8" s="141" t="s">
        <v>129</v>
      </c>
      <c r="B8" s="185">
        <f>NonAOIStudCntPSDCY</f>
        <v>0</v>
      </c>
      <c r="C8" s="185">
        <v>0</v>
      </c>
      <c r="D8" s="185">
        <v>0</v>
      </c>
      <c r="E8" s="185">
        <f>IF(AND(B8=0,C8=0,D8=0),0,1.45)</f>
        <v>0</v>
      </c>
      <c r="F8" s="185">
        <f>B8*E8</f>
        <v>0</v>
      </c>
      <c r="G8" s="185">
        <f>E8*C8</f>
        <v>0</v>
      </c>
      <c r="H8" s="185">
        <f>E8*D8</f>
        <v>0</v>
      </c>
      <c r="I8"/>
      <c r="J8"/>
    </row>
    <row r="9" spans="1:10">
      <c r="A9" s="141" t="s">
        <v>438</v>
      </c>
      <c r="B9" s="185">
        <f>NonAOIStudCntK8CY</f>
        <v>288</v>
      </c>
      <c r="C9" s="185">
        <f>AOIFTStudCntK8CY</f>
        <v>0</v>
      </c>
      <c r="D9" s="185">
        <f>AOIPTStudCntK8CY</f>
        <v>0</v>
      </c>
      <c r="E9" s="185">
        <f>IF(AND(B9=0,C9=0,D9=0),0,IF(OR('Data Entry'!B8="X",'Data Entry'!B9="X",'Data Entry'!B10="X",'Data Entry'!B11="X"),Calculations!L58,Calculations!L57))</f>
        <v>1.3415999999999999</v>
      </c>
      <c r="F9" s="185">
        <f>B9*E9</f>
        <v>386.38080000000002</v>
      </c>
      <c r="G9" s="185">
        <f>E9*C9</f>
        <v>0</v>
      </c>
      <c r="H9" s="185">
        <f>E9*D9</f>
        <v>0</v>
      </c>
      <c r="I9"/>
      <c r="J9"/>
    </row>
    <row r="10" spans="1:10">
      <c r="A10" s="141" t="s">
        <v>131</v>
      </c>
      <c r="B10" s="185">
        <f>NonAOIStudCnt912CY</f>
        <v>122</v>
      </c>
      <c r="C10" s="185">
        <f>AOIFTStudCnt912CY</f>
        <v>0</v>
      </c>
      <c r="D10" s="185">
        <f>AOIPTStudCnt912CY</f>
        <v>0</v>
      </c>
      <c r="E10" s="185">
        <f>IF(AND(B10=0,C10=0,D10=0),0,IF(OR('Data Entry'!B8="X",'Data Entry'!B9="X",'Data Entry'!B10="X",'Data Entry'!B11="X"),Calculations!N58,Calculations!N57))</f>
        <v>1.5491999999999999</v>
      </c>
      <c r="F10" s="185">
        <f>B10*E10</f>
        <v>189.00239999999999</v>
      </c>
      <c r="G10" s="185">
        <f>E10*C10</f>
        <v>0</v>
      </c>
      <c r="H10" s="185">
        <f>E10*D10</f>
        <v>0</v>
      </c>
      <c r="I10"/>
      <c r="J10"/>
    </row>
    <row r="11" spans="1:10">
      <c r="A11" s="186" t="s">
        <v>426</v>
      </c>
      <c r="B11" s="187">
        <f>SUM(B8:B10)</f>
        <v>410</v>
      </c>
      <c r="C11" s="188">
        <f>SUM(C8:C10)</f>
        <v>0</v>
      </c>
      <c r="D11" s="188">
        <f>SUM(D8:D10)</f>
        <v>0</v>
      </c>
      <c r="E11" s="189"/>
      <c r="F11" s="189"/>
      <c r="G11" s="189"/>
      <c r="H11" s="189"/>
      <c r="I11"/>
      <c r="J11"/>
    </row>
    <row r="12" spans="1:10" ht="12.75" customHeight="1">
      <c r="A12" s="190" t="s">
        <v>449</v>
      </c>
      <c r="B12" s="191"/>
      <c r="C12" s="189"/>
      <c r="D12" s="188">
        <f>SUM(B11:D11)</f>
        <v>410</v>
      </c>
      <c r="E12" s="189"/>
      <c r="F12" s="189"/>
      <c r="G12" s="189"/>
      <c r="H12" s="189"/>
      <c r="I12"/>
      <c r="J12"/>
    </row>
    <row r="13" spans="1:10" ht="12.75" customHeight="1">
      <c r="A13" s="102" t="s">
        <v>412</v>
      </c>
      <c r="B13" s="192"/>
      <c r="C13" s="189"/>
      <c r="D13" s="189"/>
      <c r="E13" s="189"/>
      <c r="F13" s="188">
        <f>((B8*E8)+(B9*E9)+(B10*E10))</f>
        <v>575.38319999999999</v>
      </c>
      <c r="G13" s="188">
        <f>((C8*E8)+(C9*E9)+(C10*E10))</f>
        <v>0</v>
      </c>
      <c r="H13" s="188">
        <f>((D8*E8)+(D9*E9)+(D10*E10))</f>
        <v>0</v>
      </c>
      <c r="I13"/>
      <c r="J13"/>
    </row>
    <row r="14" spans="1:10" ht="12.75" customHeight="1" thickBot="1">
      <c r="A14" s="193" t="s">
        <v>450</v>
      </c>
      <c r="B14" s="194"/>
      <c r="C14" s="194"/>
      <c r="D14" s="194"/>
      <c r="E14" s="194"/>
      <c r="F14" s="195"/>
      <c r="G14" s="195"/>
      <c r="H14" s="196">
        <f>((B8*E8)+(B9*E9)+(B10*E10))+((C8*E8)+(C9*E9)+(C10*E10))+((D8*E8)+(D9*E9)+(D10*E10))</f>
        <v>575.38319999999999</v>
      </c>
      <c r="I14" s="182"/>
      <c r="J14" s="182"/>
    </row>
    <row r="15" spans="1:10" ht="39" customHeight="1">
      <c r="A15" s="197" t="s">
        <v>447</v>
      </c>
      <c r="B15" s="198" t="s">
        <v>404</v>
      </c>
      <c r="C15" s="198" t="s">
        <v>405</v>
      </c>
      <c r="D15" s="198" t="s">
        <v>406</v>
      </c>
      <c r="E15" s="198" t="s">
        <v>407</v>
      </c>
      <c r="F15" s="198" t="s">
        <v>408</v>
      </c>
      <c r="G15" s="198" t="s">
        <v>409</v>
      </c>
      <c r="H15" s="198" t="s">
        <v>410</v>
      </c>
      <c r="I15"/>
      <c r="J15"/>
    </row>
    <row r="16" spans="1:10">
      <c r="A16" s="114" t="s">
        <v>152</v>
      </c>
      <c r="B16" s="185">
        <f>NonAOIStudCntELL</f>
        <v>40</v>
      </c>
      <c r="C16" s="185">
        <f>AOIFTStudCntELL</f>
        <v>0</v>
      </c>
      <c r="D16" s="185">
        <f>AOIPTStudCntELL</f>
        <v>0</v>
      </c>
      <c r="E16" s="185">
        <v>0.115</v>
      </c>
      <c r="F16" s="185">
        <f>E16*NonAOIStudCntELL</f>
        <v>4.5999999999999996</v>
      </c>
      <c r="G16" s="185">
        <f>E16*AOIFTStudCntELL</f>
        <v>0</v>
      </c>
      <c r="H16" s="185">
        <f>E16*AOIPTStudCntELL</f>
        <v>0</v>
      </c>
      <c r="I16"/>
      <c r="J16"/>
    </row>
    <row r="17" spans="1:10">
      <c r="A17" s="114" t="s">
        <v>138</v>
      </c>
      <c r="B17" s="185">
        <f>NonAOIStudCntK3</f>
        <v>100</v>
      </c>
      <c r="C17" s="185">
        <f>AOIFTStudCntK3</f>
        <v>0</v>
      </c>
      <c r="D17" s="185">
        <f>AOIPTStudCntK3</f>
        <v>0</v>
      </c>
      <c r="E17" s="185">
        <v>0.06</v>
      </c>
      <c r="F17" s="185">
        <f>E17*NonAOIStudCntK3</f>
        <v>6</v>
      </c>
      <c r="G17" s="185">
        <f>E17*AOIFTStudCntK3</f>
        <v>0</v>
      </c>
      <c r="H17" s="185">
        <f>E17*AOIPTStudCntK3</f>
        <v>0</v>
      </c>
      <c r="I17"/>
      <c r="J17"/>
    </row>
    <row r="18" spans="1:10" ht="12.75" customHeight="1">
      <c r="A18" s="114" t="s">
        <v>427</v>
      </c>
      <c r="B18" s="185">
        <f>NonAOIStudCntK3Read</f>
        <v>100</v>
      </c>
      <c r="C18" s="185">
        <f>AOIFTStudCntK3Read</f>
        <v>0</v>
      </c>
      <c r="D18" s="185">
        <f>AOIPTStudCntK3Read</f>
        <v>0</v>
      </c>
      <c r="E18" s="185">
        <v>0.04</v>
      </c>
      <c r="F18" s="185">
        <f>E18*NonAOIStudCntK3Read</f>
        <v>4</v>
      </c>
      <c r="G18" s="185">
        <f>E18*AOIFTStudCntK3Read</f>
        <v>0</v>
      </c>
      <c r="H18" s="185">
        <f>E18*AOIPTStudCntK3Read</f>
        <v>0</v>
      </c>
      <c r="I18"/>
      <c r="J18"/>
    </row>
    <row r="19" spans="1:10" ht="11.25" customHeight="1">
      <c r="A19" s="114" t="s">
        <v>153</v>
      </c>
      <c r="B19" s="185">
        <f>NonAOIStudCntHI</f>
        <v>0</v>
      </c>
      <c r="C19" s="185">
        <f>AOIFTStudCntHI</f>
        <v>0</v>
      </c>
      <c r="D19" s="185">
        <f>AOIPTStudCntHI</f>
        <v>0</v>
      </c>
      <c r="E19" s="185">
        <v>4.7709999999999999</v>
      </c>
      <c r="F19" s="185">
        <f>E19*NonAOIStudCntHI</f>
        <v>0</v>
      </c>
      <c r="G19" s="185">
        <f>E19*AOIFTStudCntHI</f>
        <v>0</v>
      </c>
      <c r="H19" s="185">
        <f>E19*AOIPTStudCntHI</f>
        <v>0</v>
      </c>
      <c r="I19"/>
      <c r="J19"/>
    </row>
    <row r="20" spans="1:10">
      <c r="A20" s="199" t="s">
        <v>154</v>
      </c>
      <c r="B20" s="185">
        <f>NonAOIStudCntMDR.AR.SIDR</f>
        <v>5</v>
      </c>
      <c r="C20" s="185">
        <f>AOIFTStudCntMDR.AR.SIDR</f>
        <v>0</v>
      </c>
      <c r="D20" s="185">
        <f>AOIPTStudCntMDR.AR.SIDR</f>
        <v>0</v>
      </c>
      <c r="E20" s="185">
        <v>6.024</v>
      </c>
      <c r="F20" s="185">
        <f>E20*NonAOIStudCntMDR.AR.SIDR</f>
        <v>30.12</v>
      </c>
      <c r="G20" s="185">
        <f>E20*AOIFTStudCntMDR.AR.SIDR</f>
        <v>0</v>
      </c>
      <c r="H20" s="185">
        <f>E20*AOIPTStudCntMDR.AR.SIDR</f>
        <v>0</v>
      </c>
      <c r="I20"/>
      <c r="J20"/>
    </row>
    <row r="21" spans="1:10" ht="12.75" customHeight="1">
      <c r="A21" s="199" t="s">
        <v>155</v>
      </c>
      <c r="B21" s="185">
        <f>NonAOIStudCntMDSC.ASC.SIDSC</f>
        <v>0</v>
      </c>
      <c r="C21" s="185">
        <f>AOIFTStudCntMDSC.ASC.SIDSC</f>
        <v>0</v>
      </c>
      <c r="D21" s="185">
        <f>AOIPTStudCntMDSC.ASC.SIDSC</f>
        <v>0</v>
      </c>
      <c r="E21" s="185">
        <v>5.9880000000000004</v>
      </c>
      <c r="F21" s="185">
        <f>E21*NonAOIStudCntMDSC.ASC.SIDSC</f>
        <v>0</v>
      </c>
      <c r="G21" s="185">
        <f>E21*AOIFTStudCntMDSC.ASC.SIDSC</f>
        <v>0</v>
      </c>
      <c r="H21" s="185">
        <f>E21*AOIPTStudCntMDSC.ASC.SIDSC</f>
        <v>0</v>
      </c>
      <c r="I21"/>
      <c r="J21"/>
    </row>
    <row r="22" spans="1:10">
      <c r="A22" s="199" t="s">
        <v>451</v>
      </c>
      <c r="B22" s="185">
        <f>NonAOIStudCntMDSSI</f>
        <v>0</v>
      </c>
      <c r="C22" s="185">
        <f>AOIFTStudCntMDSSI</f>
        <v>0</v>
      </c>
      <c r="D22" s="185">
        <f>AOIPTStudCntMDSSI</f>
        <v>0</v>
      </c>
      <c r="E22" s="185">
        <v>7.9470000000000001</v>
      </c>
      <c r="F22" s="185">
        <f>E22*NonAOIStudCntMDSSI</f>
        <v>0</v>
      </c>
      <c r="G22" s="185">
        <f>E22*AOIFTStudCntMDSSI</f>
        <v>0</v>
      </c>
      <c r="H22" s="185">
        <f>E22*AOIPTStudCntMDSSI</f>
        <v>0</v>
      </c>
      <c r="I22"/>
      <c r="J22"/>
    </row>
    <row r="23" spans="1:10">
      <c r="A23" s="199" t="s">
        <v>428</v>
      </c>
      <c r="B23" s="185">
        <f>NonAOIStudCntOIR</f>
        <v>0</v>
      </c>
      <c r="C23" s="185">
        <f>AOIFTStudCntOIR</f>
        <v>0</v>
      </c>
      <c r="D23" s="185">
        <f>AOIPTStudCntOIR</f>
        <v>0</v>
      </c>
      <c r="E23" s="185">
        <v>3.1579999999999999</v>
      </c>
      <c r="F23" s="185">
        <f>E23*NonAOIStudCntOIR</f>
        <v>0</v>
      </c>
      <c r="G23" s="185">
        <f>E23*AOIFTStudCntOIR</f>
        <v>0</v>
      </c>
      <c r="H23" s="185">
        <f>E23*AOIPTStudCntOIR</f>
        <v>0</v>
      </c>
      <c r="I23"/>
      <c r="J23"/>
    </row>
    <row r="24" spans="1:10">
      <c r="A24" s="199" t="s">
        <v>429</v>
      </c>
      <c r="B24" s="185">
        <f>NonAOIStudCntOISC</f>
        <v>0</v>
      </c>
      <c r="C24" s="185">
        <f>AOIFTStudCntOISC</f>
        <v>0</v>
      </c>
      <c r="D24" s="185">
        <f>AOIPTStudCntOISC</f>
        <v>0</v>
      </c>
      <c r="E24" s="185">
        <v>6.7729999999999997</v>
      </c>
      <c r="F24" s="185">
        <f>E24*NonAOIStudCntOISC</f>
        <v>0</v>
      </c>
      <c r="G24" s="185">
        <f>E24*AOIFTStudCntOISC</f>
        <v>0</v>
      </c>
      <c r="H24" s="185">
        <f>E24*AOIPTStudCntOISC</f>
        <v>0</v>
      </c>
      <c r="I24"/>
      <c r="J24"/>
    </row>
    <row r="25" spans="1:10">
      <c r="A25" s="199" t="s">
        <v>156</v>
      </c>
      <c r="B25" s="185">
        <f>NonAOIStudCntP.SD</f>
        <v>0</v>
      </c>
      <c r="C25" s="185">
        <f>AOIFTStudCntP.SD</f>
        <v>0</v>
      </c>
      <c r="D25" s="185">
        <f>AOIPTStudCntP.SD</f>
        <v>0</v>
      </c>
      <c r="E25" s="185">
        <v>3.5950000000000002</v>
      </c>
      <c r="F25" s="185">
        <f>E25*NonAOIStudCntP.SD</f>
        <v>0</v>
      </c>
      <c r="G25" s="185">
        <f>E25*AOIFTStudCntP.SD</f>
        <v>0</v>
      </c>
      <c r="H25" s="185">
        <f>E25*AOIPTStudCntP.SD</f>
        <v>0</v>
      </c>
      <c r="I25"/>
      <c r="J25"/>
    </row>
    <row r="26" spans="1:10">
      <c r="A26" s="199" t="s">
        <v>159</v>
      </c>
      <c r="B26" s="185">
        <f>NonAOIStudCntDD.ED.MIID.SLD.SLI.OHI</f>
        <v>75</v>
      </c>
      <c r="C26" s="185">
        <f>AOIFTStudCntDD.ED.MIID.SLD.SLI.OHI</f>
        <v>0</v>
      </c>
      <c r="D26" s="185">
        <f>AOIPTStudCntDD.ED.MIID.SLD.SLI.OHI</f>
        <v>0</v>
      </c>
      <c r="E26" s="185">
        <v>0.29199999999999998</v>
      </c>
      <c r="F26" s="185">
        <f>E26*NonAOIStudCntDD.ED.MIID.SLD.SLI.OHI</f>
        <v>21.9</v>
      </c>
      <c r="G26" s="185">
        <f>E26*AOIFTStudCntDD.ED.MIID.SLD.SLI.OHI</f>
        <v>0</v>
      </c>
      <c r="H26" s="185">
        <f>E26*AOIPTStudCntDD.ED.MIID.SLD.SLI.OHI</f>
        <v>0</v>
      </c>
      <c r="I26"/>
      <c r="J26"/>
    </row>
    <row r="27" spans="1:10">
      <c r="A27" s="199" t="s">
        <v>452</v>
      </c>
      <c r="B27" s="185">
        <f>NonAOIStudCntEDP</f>
        <v>0</v>
      </c>
      <c r="C27" s="185">
        <f>AOIFTStudCntEDP</f>
        <v>0</v>
      </c>
      <c r="D27" s="185">
        <f>AOIPTStudCntEDP</f>
        <v>0</v>
      </c>
      <c r="E27" s="185">
        <v>4.8220000000000001</v>
      </c>
      <c r="F27" s="185">
        <f>E27*NonAOIStudCntEDP</f>
        <v>0</v>
      </c>
      <c r="G27" s="185">
        <f>E27*AOIFTStudCntEDP</f>
        <v>0</v>
      </c>
      <c r="H27" s="185">
        <f>E27*AOIPTStudCntEDP</f>
        <v>0</v>
      </c>
      <c r="I27"/>
      <c r="J27"/>
    </row>
    <row r="28" spans="1:10">
      <c r="A28" s="199" t="s">
        <v>157</v>
      </c>
      <c r="B28" s="185">
        <f>NonAOIStudCntMOID</f>
        <v>0</v>
      </c>
      <c r="C28" s="185">
        <f>AOIFTStudCntMOID</f>
        <v>0</v>
      </c>
      <c r="D28" s="185">
        <f>AOIPTStudCntMOID</f>
        <v>0</v>
      </c>
      <c r="E28" s="185">
        <v>4.4210000000000003</v>
      </c>
      <c r="F28" s="185">
        <f>E28*NonAOIStudCntMOID</f>
        <v>0</v>
      </c>
      <c r="G28" s="185">
        <f>E28*AOIFTStudCntMOID</f>
        <v>0</v>
      </c>
      <c r="H28" s="185">
        <f>E28*AOIPTStudCntMOID</f>
        <v>0</v>
      </c>
      <c r="I28"/>
      <c r="J28"/>
    </row>
    <row r="29" spans="1:10">
      <c r="A29" s="199" t="s">
        <v>158</v>
      </c>
      <c r="B29" s="185">
        <f>NonAOIStudCntVI</f>
        <v>0</v>
      </c>
      <c r="C29" s="185">
        <f>AOIFTStudCntVI</f>
        <v>0</v>
      </c>
      <c r="D29" s="185">
        <f>AOIPTStudCntVI</f>
        <v>0</v>
      </c>
      <c r="E29" s="185">
        <v>4.806</v>
      </c>
      <c r="F29" s="185">
        <f>E29*NonAOIStudCntVI</f>
        <v>0</v>
      </c>
      <c r="G29" s="185">
        <f>E29*AOIFTStudCntVI</f>
        <v>0</v>
      </c>
      <c r="H29" s="185">
        <f>E29*AOIPTStudCntVI</f>
        <v>0</v>
      </c>
      <c r="I29"/>
      <c r="J29"/>
    </row>
    <row r="30" spans="1:10">
      <c r="A30" s="199" t="s">
        <v>458</v>
      </c>
      <c r="B30" s="185">
        <f>NonAOIStudCntG</f>
        <v>0</v>
      </c>
      <c r="C30" s="185">
        <f>AOIFTStudCntG</f>
        <v>0</v>
      </c>
      <c r="D30" s="185">
        <f>AOIPTStudCntG</f>
        <v>0</v>
      </c>
      <c r="E30" s="185">
        <v>7.0000000000000001E-3</v>
      </c>
      <c r="F30" s="185">
        <f>E30*NonAOIStudCntG</f>
        <v>0</v>
      </c>
      <c r="G30" s="185">
        <f>E30*AOIFTStudCntG</f>
        <v>0</v>
      </c>
      <c r="H30" s="185">
        <f>E30*AOIPTStudCntG</f>
        <v>0</v>
      </c>
      <c r="I30"/>
      <c r="J30"/>
    </row>
    <row r="31" spans="1:10">
      <c r="A31" s="141" t="s">
        <v>465</v>
      </c>
      <c r="B31" s="185">
        <f>NonAOIStudCntFRPL</f>
        <v>0</v>
      </c>
      <c r="C31" s="185">
        <f>AOIFTStudCntFRPL</f>
        <v>0</v>
      </c>
      <c r="D31" s="185">
        <f>AOIPTStudCntFRPL</f>
        <v>0</v>
      </c>
      <c r="E31" s="200">
        <v>2.1999999999999999E-2</v>
      </c>
      <c r="F31" s="185">
        <f>E31*NonAOIStudCntFRPL</f>
        <v>0</v>
      </c>
      <c r="G31" s="185">
        <f>E31*AOIFTStudCntFRPL</f>
        <v>0</v>
      </c>
      <c r="H31" s="185">
        <f>E31*AOIPTStudCntFRPL</f>
        <v>0</v>
      </c>
      <c r="I31"/>
      <c r="J31"/>
    </row>
    <row r="32" spans="1:10">
      <c r="A32" s="201" t="s">
        <v>444</v>
      </c>
      <c r="B32" s="202">
        <f>SUM(B16:B31)</f>
        <v>320</v>
      </c>
      <c r="C32" s="188">
        <f>SUM(C16:C31)</f>
        <v>0</v>
      </c>
      <c r="D32" s="188">
        <f>SUM(D16:D31)</f>
        <v>0</v>
      </c>
      <c r="E32" s="188"/>
      <c r="F32" s="188"/>
      <c r="G32" s="188"/>
      <c r="H32" s="188"/>
      <c r="I32"/>
      <c r="J32"/>
    </row>
    <row r="33" spans="1:10">
      <c r="A33" s="203" t="s">
        <v>445</v>
      </c>
      <c r="B33" s="202"/>
      <c r="C33" s="188"/>
      <c r="D33" s="188">
        <f>SUM(B32:D32)</f>
        <v>320</v>
      </c>
      <c r="E33" s="188"/>
      <c r="F33" s="188"/>
      <c r="G33" s="188"/>
      <c r="H33" s="188"/>
      <c r="I33"/>
      <c r="J33"/>
    </row>
    <row r="34" spans="1:10" ht="12.75" customHeight="1">
      <c r="A34" s="203" t="s">
        <v>431</v>
      </c>
      <c r="B34" s="202"/>
      <c r="C34" s="188"/>
      <c r="D34" s="188"/>
      <c r="E34" s="188"/>
      <c r="F34" s="188">
        <f>((B16*E16)+(B17*E17)+(B18*E18)+(B19*E19)+(B20*E20)+(B21*E21)+(B22*E22)+(B23*E23)+(B24*E24)+(B25*E25)+(B26*E26)+(B27*E27)+(B28*E28)+(B29*E29)+(B30*E30)+(B31*E31))</f>
        <v>66.62</v>
      </c>
      <c r="G34" s="188">
        <f>((C16*E16)+(C17*E17)+(C18*E18)+(C19*E19)+(C20*E20)+(C21*E21)+(C22*E22)+(C23*E23)+(C24*E24)+(C25*E25)+(C26*E26)+(C27*E27)+(C28*E28)+(C29*E29)+(C30*E30)+(C31*E31))</f>
        <v>0</v>
      </c>
      <c r="H34" s="188">
        <f>((D16*E16)+(D17*E17)+(D18*E18)+(D19*E19)+(D20*E20)+(D21*E21)+(D22*E22)+(D23*E23)+(D24*E24)+(D25*E25)+(D26*E26)+(D27*E27)+(D28*E28)+(D29*E29)+(D30*E30)+(D31*E31))</f>
        <v>0</v>
      </c>
      <c r="I34" s="139"/>
      <c r="J34" s="139"/>
    </row>
    <row r="35" spans="1:10" s="139" customFormat="1">
      <c r="A35" s="203" t="s">
        <v>446</v>
      </c>
      <c r="B35" s="202"/>
      <c r="C35" s="204"/>
      <c r="D35" s="204"/>
      <c r="E35" s="204"/>
      <c r="F35" s="204"/>
      <c r="G35" s="204"/>
      <c r="H35" s="204">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66.62</v>
      </c>
      <c r="I35" s="205"/>
    </row>
    <row r="36" spans="1:10">
      <c r="A36" s="447" t="str">
        <f>A3</f>
        <v>Tucson International Academy</v>
      </c>
      <c r="B36" s="447"/>
      <c r="C36" s="447"/>
      <c r="D36" s="447"/>
      <c r="E36" s="447"/>
      <c r="F36" s="447"/>
      <c r="G36" s="447"/>
      <c r="H36" s="447"/>
      <c r="I36" s="447"/>
      <c r="J36" s="447"/>
    </row>
    <row r="37" spans="1:10">
      <c r="A37" s="447" t="s">
        <v>448</v>
      </c>
      <c r="B37" s="447"/>
      <c r="C37" s="447"/>
      <c r="D37" s="447"/>
      <c r="E37" s="447"/>
      <c r="F37" s="447"/>
      <c r="G37" s="447"/>
      <c r="H37" s="447"/>
      <c r="I37" s="447"/>
      <c r="J37" s="447"/>
    </row>
    <row r="38" spans="1:10">
      <c r="A38" s="447" t="s">
        <v>469</v>
      </c>
      <c r="B38" s="447"/>
      <c r="C38" s="447"/>
      <c r="D38" s="447"/>
      <c r="E38" s="447"/>
      <c r="F38" s="447"/>
      <c r="G38" s="447"/>
      <c r="H38" s="447"/>
      <c r="I38" s="447"/>
      <c r="J38" s="447"/>
    </row>
    <row r="39" spans="1:10" s="139" customFormat="1" ht="13.5" thickBot="1">
      <c r="A39" s="182"/>
      <c r="B39" s="182"/>
      <c r="C39" s="182"/>
      <c r="D39" s="182"/>
      <c r="E39" s="182"/>
      <c r="F39" s="182"/>
      <c r="G39" s="182"/>
      <c r="H39" s="182"/>
      <c r="I39" s="182"/>
      <c r="J39" s="183" t="s">
        <v>418</v>
      </c>
    </row>
    <row r="40" spans="1:10">
      <c r="A40"/>
      <c r="B40"/>
      <c r="C40"/>
      <c r="D40"/>
      <c r="E40"/>
      <c r="F40"/>
      <c r="G40"/>
      <c r="H40"/>
      <c r="I40"/>
      <c r="J40"/>
    </row>
    <row r="41" spans="1:10">
      <c r="A41" s="203" t="s">
        <v>430</v>
      </c>
      <c r="B41"/>
      <c r="C41"/>
      <c r="D41"/>
      <c r="E41"/>
      <c r="F41"/>
      <c r="G41"/>
      <c r="H41"/>
      <c r="I41"/>
      <c r="J41"/>
    </row>
    <row r="42" spans="1:10" ht="38.25">
      <c r="A42" s="206"/>
      <c r="B42"/>
      <c r="C42" s="184" t="s">
        <v>415</v>
      </c>
      <c r="D42"/>
      <c r="E42" s="184" t="s">
        <v>416</v>
      </c>
      <c r="F42"/>
      <c r="G42" s="184" t="s">
        <v>417</v>
      </c>
      <c r="H42"/>
      <c r="I42"/>
      <c r="J42"/>
    </row>
    <row r="43" spans="1:10" ht="13.5" customHeight="1">
      <c r="A43" s="125" t="s">
        <v>412</v>
      </c>
      <c r="B43"/>
      <c r="C43" s="207">
        <f>((B8*E8)+(B9*E9)+(B10*E10))</f>
        <v>575.38319999999999</v>
      </c>
      <c r="D43"/>
      <c r="E43" s="207">
        <f>((C8*E8)+(C9*E9)+(C10*E10))</f>
        <v>0</v>
      </c>
      <c r="F43" s="189"/>
      <c r="G43" s="207">
        <f>((D8*E8)+(D9*E9)+(D10*E10))</f>
        <v>0</v>
      </c>
      <c r="H43" s="189"/>
      <c r="I43"/>
      <c r="J43"/>
    </row>
    <row r="44" spans="1:10">
      <c r="A44" s="125" t="s">
        <v>431</v>
      </c>
      <c r="B44" s="34" t="s">
        <v>136</v>
      </c>
      <c r="C44" s="207">
        <f>((B16*E16)+(B17*E17)+(B18*E18)+(B19*E19)+(B20*E20)+(B21*E21)+(B22*E22)+(B23*E23)+(B24*E24)+(B25*E25)+(B26*E26)+(B27*E27)+(B28*E28)+(B29*E29)+(B30*E30)+(B31*E31))</f>
        <v>66.62</v>
      </c>
      <c r="D44" s="34" t="s">
        <v>136</v>
      </c>
      <c r="E44" s="207">
        <f>((C16*E16)+(C17*E17)+(C18*E18)+(C19*E19)+(C20*E20)+(C21*E21)+(C22*E22)+(C23*E23)+(C24*E24)+(C25*E25)+(C26*E26)+(C27*E27)+(C28*E28)+(C29*E29)+(C30*E30)+(C31*E31))</f>
        <v>0</v>
      </c>
      <c r="F44" s="208" t="s">
        <v>136</v>
      </c>
      <c r="G44" s="207">
        <f>((D16*E16)+(D17*E17)+(D18*E18)+(D19*E19)+(D20*E20)+(D21*E21)+(D22*E22)+(D23*E23)+(D24*E24)+(D25*E25)+(D26*E26)+(D27*E27)+(D28*E28)+(D29*E29)+(D30*E30)+(D31*E31))</f>
        <v>0</v>
      </c>
      <c r="H44" s="189"/>
      <c r="I44"/>
      <c r="J44"/>
    </row>
    <row r="45" spans="1:10">
      <c r="A45" s="125" t="s">
        <v>432</v>
      </c>
      <c r="B45" s="34" t="s">
        <v>134</v>
      </c>
      <c r="C45" s="207">
        <f>((B8*E8)+(B9*E9)+(B10*E10))+((B16*E16)+(B17*E17)+(B18*E18)+(B19*E19)+(B20*E20)+(B21*E21)+(B22*E22)+(B23*E23)+(B24*E24)+(B25*E25)+(B26*E26)+(B27*E27)+(B28*E28)+(B29*E29)+(B30*E30)+(B31*E31))</f>
        <v>642.00319999999999</v>
      </c>
      <c r="D45" s="34" t="s">
        <v>134</v>
      </c>
      <c r="E45" s="207">
        <f>((C8*E8)+(C9*E9)+(C10*E10))+((C16*E16)+(C17*E17)+(C18*E18)+(C19*E19)+(C20*E20)+(C21*E21)+(C22*E22)+(C23*E23)+(C24*E24)+(C25*E25)+(C26*E26)+(C27*E27)+(C28*E28)+(C29*E29)+(C30*E30)+(C31*E31))</f>
        <v>0</v>
      </c>
      <c r="F45" s="208" t="s">
        <v>134</v>
      </c>
      <c r="G45" s="207">
        <f>((D8*E8)+(D9*E9)+(D10*E10))+((D16*E16)+(D17*E17)+(D18*E18)+(D19*E19)+(D20*E20)+(D21*E21)+(D22*E22)+(D23*E23)+(D24*E24)+(D25*E25)+(D26*E26)+(D27*E27)+(D28*E28)+(D29*E29)+(D30*E30)+(D31*E31))</f>
        <v>0</v>
      </c>
      <c r="H45" s="189"/>
      <c r="I45"/>
      <c r="J45"/>
    </row>
    <row r="46" spans="1:10">
      <c r="A46" s="125" t="s">
        <v>433</v>
      </c>
      <c r="B46" s="34" t="s">
        <v>135</v>
      </c>
      <c r="C46" s="207">
        <v>1</v>
      </c>
      <c r="D46" s="34" t="s">
        <v>135</v>
      </c>
      <c r="E46" s="207">
        <v>0.95</v>
      </c>
      <c r="F46" s="208" t="s">
        <v>135</v>
      </c>
      <c r="G46" s="207">
        <v>0.85</v>
      </c>
      <c r="H46" s="189"/>
      <c r="I46"/>
      <c r="J46"/>
    </row>
    <row r="47" spans="1:10">
      <c r="A47" s="125" t="s">
        <v>434</v>
      </c>
      <c r="B47" s="34" t="s">
        <v>134</v>
      </c>
      <c r="C47" s="207">
        <f>(((B8*E8)+(B9*E9)+(B10*E10))+((B16*E16)+(B17*E17)+(B18*E18)+(B19*E19)+(B20*E20)+(B21*E21)+(B22*E22)+(B23*E23)+(B24*E24)+(B25*E25)+(B26*E26)+(B27*E27)+(B28*E28)+(B29*E29)+(B30*E30)+(B31*E31))*C46)</f>
        <v>642.00319999999999</v>
      </c>
      <c r="D47" s="34" t="s">
        <v>134</v>
      </c>
      <c r="E47" s="207">
        <f>(((C8*E8)+(C9*E9)+(C10*E10))+((C16*E16)+(C17*E17)+(C18*E18)+(C19*E19)+(C20*E20)+(C21*E21)+(C22*E22)+(C23*E23)+(C24*E24)+(C25*E25)+(C26*E26)+(C27*E27)+(C28*E28)+(C29*E29)+(C30*E30)+(C31*E31)))*E46</f>
        <v>0</v>
      </c>
      <c r="F47" s="208" t="s">
        <v>134</v>
      </c>
      <c r="G47" s="207">
        <f>((((D8*E8)+(D9*E9)+(D10*E10))+((D16*E16)+(D17*E17)+(D18*E18)+(D19*E19)+(D20*E20)+(D21*E21)+(D22*E22)+(D23*E23)+(D24*E24)+(D25*E25)+(D26*E26)+(D27*E27)+(D28*E28)+(D29*E29)+(D30*E30)+(D31*E31)))*G46)</f>
        <v>0</v>
      </c>
      <c r="H47" s="189"/>
      <c r="I47"/>
      <c r="J47"/>
    </row>
    <row r="48" spans="1:10">
      <c r="A48"/>
      <c r="B48"/>
      <c r="C48" s="189"/>
      <c r="D48"/>
      <c r="E48" s="189"/>
      <c r="F48" s="189"/>
      <c r="G48" s="189"/>
      <c r="H48" s="189"/>
      <c r="I48"/>
      <c r="J48"/>
    </row>
    <row r="49" spans="1:10">
      <c r="A49" s="209" t="s">
        <v>435</v>
      </c>
      <c r="B49"/>
      <c r="C49" s="189"/>
      <c r="D49" s="210"/>
      <c r="E49" s="189"/>
      <c r="F49" s="189"/>
      <c r="G49" s="189"/>
      <c r="H49" s="211">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642.00319999999999</v>
      </c>
      <c r="I49"/>
      <c r="J49"/>
    </row>
    <row r="50" spans="1:10">
      <c r="A50" s="125" t="s">
        <v>504</v>
      </c>
      <c r="B50"/>
      <c r="C50" s="189"/>
      <c r="D50"/>
      <c r="E50"/>
      <c r="F50"/>
      <c r="G50"/>
      <c r="H50" s="212">
        <f>IF('Data Entry'!C64="X",(4914.71*0.05)+4914.71,4914.71)</f>
        <v>4914.71</v>
      </c>
      <c r="I50"/>
      <c r="J50"/>
    </row>
    <row r="51" spans="1:10">
      <c r="A51" s="203" t="s">
        <v>436</v>
      </c>
      <c r="B51"/>
      <c r="C51" s="207">
        <f>H49</f>
        <v>642.00319999999999</v>
      </c>
      <c r="D51" s="34" t="s">
        <v>135</v>
      </c>
      <c r="E51" s="213">
        <f>H50</f>
        <v>4914.71</v>
      </c>
      <c r="F51"/>
      <c r="G51"/>
      <c r="H51" s="21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3155259.55</v>
      </c>
      <c r="I51"/>
      <c r="J51"/>
    </row>
    <row r="52" spans="1:10">
      <c r="A52" s="203"/>
      <c r="B52"/>
      <c r="C52" s="85"/>
      <c r="D52" s="34"/>
      <c r="E52" s="115"/>
      <c r="F52"/>
      <c r="G52"/>
      <c r="H52" s="215"/>
      <c r="I52"/>
      <c r="J52"/>
    </row>
    <row r="53" spans="1:10">
      <c r="A53" s="165" t="s">
        <v>437</v>
      </c>
      <c r="B53"/>
      <c r="C53"/>
      <c r="D53"/>
      <c r="E53"/>
      <c r="F53"/>
      <c r="G53"/>
      <c r="H53" s="102"/>
      <c r="I53"/>
      <c r="J53"/>
    </row>
    <row r="54" spans="1:10">
      <c r="A54" s="165" t="s">
        <v>413</v>
      </c>
      <c r="B54"/>
      <c r="C54"/>
      <c r="D54"/>
      <c r="E54"/>
      <c r="F54"/>
      <c r="G54"/>
      <c r="H54" s="214">
        <f>ROUND(NonFedAuditExp,0)</f>
        <v>0</v>
      </c>
      <c r="I54"/>
      <c r="J54"/>
    </row>
    <row r="55" spans="1:10">
      <c r="A55" s="165" t="s">
        <v>464</v>
      </c>
      <c r="B55"/>
      <c r="C55"/>
      <c r="D55"/>
      <c r="E55"/>
      <c r="F55"/>
      <c r="G55"/>
      <c r="H55" s="214">
        <f>ROUND(RemoteTimeAdjustment,0)</f>
        <v>0</v>
      </c>
      <c r="I55"/>
      <c r="J55"/>
    </row>
    <row r="56" spans="1:10">
      <c r="A56" s="165"/>
      <c r="B56"/>
      <c r="C56"/>
      <c r="D56"/>
      <c r="E56"/>
      <c r="F56"/>
      <c r="G56"/>
      <c r="H56" s="214"/>
      <c r="I56"/>
      <c r="J56"/>
    </row>
    <row r="57" spans="1:10">
      <c r="A57"/>
      <c r="B57"/>
      <c r="C57"/>
      <c r="D57"/>
      <c r="E57"/>
      <c r="F57"/>
      <c r="G57"/>
      <c r="H57" s="42"/>
      <c r="I57"/>
      <c r="J57"/>
    </row>
    <row r="58" spans="1:10">
      <c r="A58" s="166" t="s">
        <v>414</v>
      </c>
      <c r="B58"/>
      <c r="C58" s="213">
        <f>H51</f>
        <v>3155259.55</v>
      </c>
      <c r="D58" s="34" t="s">
        <v>136</v>
      </c>
      <c r="E58" s="213">
        <f>H54+H55</f>
        <v>0</v>
      </c>
      <c r="F58"/>
      <c r="G58"/>
      <c r="H58" s="214">
        <f>C58+E58</f>
        <v>3155259.55</v>
      </c>
      <c r="I58"/>
      <c r="J58"/>
    </row>
    <row r="59" spans="1:10">
      <c r="A59"/>
      <c r="B59"/>
      <c r="C59"/>
      <c r="D59"/>
      <c r="E59"/>
      <c r="F59"/>
      <c r="G59"/>
      <c r="H59"/>
      <c r="I59"/>
      <c r="J59"/>
    </row>
    <row r="60" spans="1:10" ht="11.25" customHeight="1">
      <c r="A60" s="447" t="str">
        <f>A3</f>
        <v>Tucson International Academy</v>
      </c>
      <c r="B60" s="447"/>
      <c r="C60" s="447"/>
      <c r="D60" s="447"/>
      <c r="E60" s="447"/>
      <c r="F60" s="447"/>
      <c r="G60" s="447"/>
      <c r="H60" s="447"/>
      <c r="I60" s="447"/>
      <c r="J60" s="447"/>
    </row>
    <row r="61" spans="1:10" ht="12" customHeight="1">
      <c r="A61" s="447" t="s">
        <v>448</v>
      </c>
      <c r="B61" s="447"/>
      <c r="C61" s="447"/>
      <c r="D61" s="447"/>
      <c r="E61" s="447"/>
      <c r="F61" s="447"/>
      <c r="G61" s="447"/>
      <c r="H61" s="447"/>
      <c r="I61" s="447"/>
      <c r="J61" s="447"/>
    </row>
    <row r="62" spans="1:10">
      <c r="A62" s="447" t="s">
        <v>469</v>
      </c>
      <c r="B62" s="447"/>
      <c r="C62" s="447"/>
      <c r="D62" s="447"/>
      <c r="E62" s="447"/>
      <c r="F62" s="447"/>
      <c r="G62" s="447"/>
      <c r="H62" s="447"/>
      <c r="I62" s="447"/>
      <c r="J62" s="447"/>
    </row>
    <row r="63" spans="1:10" s="139" customFormat="1" ht="13.5" thickBot="1">
      <c r="A63" s="182"/>
      <c r="B63" s="182"/>
      <c r="C63" s="182"/>
      <c r="D63" s="182"/>
      <c r="E63" s="182"/>
      <c r="F63" s="182"/>
      <c r="G63" s="182"/>
      <c r="H63" s="182"/>
      <c r="I63" s="182"/>
      <c r="J63" s="183" t="s">
        <v>419</v>
      </c>
    </row>
    <row r="64" spans="1:10">
      <c r="A64"/>
      <c r="B64"/>
      <c r="C64"/>
      <c r="D64"/>
      <c r="E64"/>
      <c r="F64"/>
      <c r="G64"/>
      <c r="H64"/>
      <c r="I64"/>
      <c r="J64"/>
    </row>
    <row r="65" spans="1:10" ht="13.5" thickBot="1">
      <c r="A65" s="183" t="s">
        <v>420</v>
      </c>
      <c r="B65"/>
      <c r="C65" s="216" t="s">
        <v>129</v>
      </c>
      <c r="D65" s="182"/>
      <c r="E65" s="216" t="s">
        <v>130</v>
      </c>
      <c r="F65" s="182"/>
      <c r="G65" s="216" t="s">
        <v>131</v>
      </c>
      <c r="H65"/>
      <c r="I65"/>
      <c r="J65"/>
    </row>
    <row r="66" spans="1:10">
      <c r="A66" s="157" t="s">
        <v>439</v>
      </c>
      <c r="B66"/>
      <c r="C66" s="217">
        <f>SUM(B8:D8)</f>
        <v>0</v>
      </c>
      <c r="D66" s="189"/>
      <c r="E66" s="217">
        <f>SUM(B9:D9)</f>
        <v>288</v>
      </c>
      <c r="F66" s="189"/>
      <c r="G66" s="217">
        <f>SUM(B10:D10)</f>
        <v>122</v>
      </c>
      <c r="H66"/>
      <c r="I66"/>
      <c r="J66"/>
    </row>
    <row r="67" spans="1:10" ht="13.5" thickBot="1">
      <c r="A67" s="125" t="s">
        <v>440</v>
      </c>
      <c r="B67" s="34" t="s">
        <v>135</v>
      </c>
      <c r="C67" s="218">
        <v>2049.12</v>
      </c>
      <c r="D67" s="219" t="s">
        <v>135</v>
      </c>
      <c r="E67" s="218">
        <v>2049.12</v>
      </c>
      <c r="F67" s="219" t="s">
        <v>135</v>
      </c>
      <c r="G67" s="218">
        <v>2388.21</v>
      </c>
      <c r="H67"/>
      <c r="I67"/>
      <c r="J67"/>
    </row>
    <row r="68" spans="1:10" ht="12" customHeight="1">
      <c r="A68" s="125" t="s">
        <v>441</v>
      </c>
      <c r="B68" s="34" t="s">
        <v>134</v>
      </c>
      <c r="C68" s="213">
        <f>C66*C67</f>
        <v>0</v>
      </c>
      <c r="D68" s="34" t="s">
        <v>134</v>
      </c>
      <c r="E68" s="213">
        <f>E66*E67</f>
        <v>590146.56000000006</v>
      </c>
      <c r="F68" s="34" t="s">
        <v>134</v>
      </c>
      <c r="G68" s="213">
        <f>G66*G67</f>
        <v>291361.62</v>
      </c>
      <c r="H68"/>
      <c r="I68"/>
      <c r="J68"/>
    </row>
    <row r="69" spans="1:10">
      <c r="A69" s="125" t="s">
        <v>442</v>
      </c>
      <c r="B69"/>
      <c r="C69"/>
      <c r="D69"/>
      <c r="E69"/>
      <c r="F69"/>
      <c r="G69"/>
      <c r="H69" s="214">
        <f>(C66*C67)+(E66*E67)+(G66*G67)</f>
        <v>881508.18</v>
      </c>
      <c r="I69"/>
      <c r="J69"/>
    </row>
    <row r="70" spans="1:10">
      <c r="A70"/>
      <c r="B70"/>
      <c r="C70"/>
      <c r="D70"/>
      <c r="E70"/>
      <c r="F70"/>
      <c r="G70"/>
      <c r="H70" s="210"/>
      <c r="I70"/>
      <c r="J70"/>
    </row>
    <row r="71" spans="1:10">
      <c r="A71" s="203" t="s">
        <v>443</v>
      </c>
      <c r="B71"/>
      <c r="C71"/>
      <c r="D71"/>
      <c r="E71"/>
      <c r="F71"/>
      <c r="G71"/>
      <c r="H71" s="210"/>
      <c r="I71"/>
      <c r="J71"/>
    </row>
    <row r="72" spans="1:10">
      <c r="A72"/>
      <c r="B72"/>
      <c r="C72"/>
      <c r="D72"/>
      <c r="E72"/>
      <c r="F72"/>
      <c r="G72"/>
      <c r="H72" s="210"/>
      <c r="I72"/>
      <c r="J72"/>
    </row>
    <row r="73" spans="1:10">
      <c r="A73" s="102" t="s">
        <v>421</v>
      </c>
      <c r="B73"/>
      <c r="C73"/>
      <c r="D73"/>
      <c r="E73"/>
      <c r="F73"/>
      <c r="G73"/>
      <c r="H73" s="214">
        <f>C68+E68+G68</f>
        <v>881508.18</v>
      </c>
      <c r="I73"/>
      <c r="J73"/>
    </row>
    <row r="74" spans="1:10">
      <c r="A74"/>
      <c r="B74"/>
      <c r="C74"/>
      <c r="D74"/>
      <c r="E74"/>
      <c r="F74"/>
      <c r="G74"/>
      <c r="H74" s="210"/>
      <c r="I74"/>
      <c r="J74"/>
    </row>
    <row r="75" spans="1:10">
      <c r="A75" s="102" t="s">
        <v>422</v>
      </c>
      <c r="B75"/>
      <c r="C75"/>
      <c r="D75"/>
      <c r="E75"/>
      <c r="F75"/>
      <c r="G75"/>
      <c r="H75" s="210"/>
      <c r="I75"/>
      <c r="J75"/>
    </row>
    <row r="76" spans="1:10">
      <c r="A76" t="s">
        <v>423</v>
      </c>
      <c r="B76"/>
      <c r="C76" s="213">
        <f>H58</f>
        <v>3155259.55</v>
      </c>
      <c r="D76"/>
      <c r="E76"/>
      <c r="F76"/>
      <c r="G76"/>
      <c r="H76" s="210"/>
      <c r="I76"/>
      <c r="J76"/>
    </row>
    <row r="77" spans="1:10">
      <c r="A77" t="s">
        <v>424</v>
      </c>
      <c r="B77" s="34" t="s">
        <v>136</v>
      </c>
      <c r="C77" s="213">
        <f>H73</f>
        <v>881508.18</v>
      </c>
      <c r="D77"/>
      <c r="E77"/>
      <c r="F77"/>
      <c r="G77"/>
      <c r="H77" s="210"/>
      <c r="I77"/>
      <c r="J77"/>
    </row>
    <row r="78" spans="1:10">
      <c r="A78"/>
      <c r="B78" s="34" t="s">
        <v>134</v>
      </c>
      <c r="C78" s="213">
        <f>C76+C77</f>
        <v>4036767.73</v>
      </c>
      <c r="D78"/>
      <c r="E78"/>
      <c r="F78"/>
      <c r="G78"/>
      <c r="H78" s="210"/>
      <c r="I78"/>
      <c r="J78"/>
    </row>
    <row r="79" spans="1:10">
      <c r="A79" s="102" t="s">
        <v>425</v>
      </c>
      <c r="B79"/>
      <c r="C79"/>
      <c r="D79"/>
      <c r="E79"/>
      <c r="F79"/>
      <c r="G79"/>
      <c r="H79" s="214">
        <f>C78</f>
        <v>4036767.73</v>
      </c>
      <c r="I79"/>
      <c r="J79"/>
    </row>
    <row r="80" spans="1:10">
      <c r="A80"/>
      <c r="B80"/>
      <c r="C80"/>
      <c r="D80"/>
      <c r="E80"/>
      <c r="F80"/>
      <c r="G80"/>
      <c r="H80" s="210"/>
      <c r="I80"/>
      <c r="J80"/>
    </row>
    <row r="81" spans="1:10">
      <c r="A81"/>
      <c r="B81"/>
      <c r="C81"/>
      <c r="D81"/>
      <c r="E81"/>
      <c r="F81"/>
      <c r="G81"/>
      <c r="H81" s="210"/>
      <c r="I81"/>
      <c r="J81"/>
    </row>
    <row r="82" spans="1:10">
      <c r="A82"/>
      <c r="B82"/>
      <c r="C82"/>
      <c r="D82"/>
      <c r="E82"/>
      <c r="F82"/>
      <c r="G82"/>
      <c r="H82" s="214">
        <f>H79</f>
        <v>4036767.73</v>
      </c>
      <c r="I82"/>
      <c r="J82"/>
    </row>
    <row r="83" spans="1:10">
      <c r="A83"/>
      <c r="B83"/>
      <c r="C83"/>
      <c r="D83"/>
      <c r="E83"/>
      <c r="F83"/>
      <c r="G83"/>
      <c r="H83" s="43"/>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A5:J5"/>
    <mergeCell ref="A62:J62"/>
    <mergeCell ref="A36:J36"/>
    <mergeCell ref="A37:J37"/>
    <mergeCell ref="A38:J38"/>
    <mergeCell ref="A60:J60"/>
    <mergeCell ref="A61:J61"/>
    <mergeCell ref="B1:C1"/>
    <mergeCell ref="E1:G1"/>
    <mergeCell ref="I1:J1"/>
    <mergeCell ref="A3:J3"/>
    <mergeCell ref="A4:J4"/>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2" activePane="bottomLeft" state="frozen"/>
      <selection activeCell="D12" sqref="D12:H12"/>
      <selection pane="bottomLeft" activeCell="C2" sqref="C2"/>
    </sheetView>
  </sheetViews>
  <sheetFormatPr defaultColWidth="9.140625" defaultRowHeight="12.75"/>
  <cols>
    <col min="1" max="1" width="13" style="140" customWidth="1"/>
    <col min="2" max="2" width="23.140625" style="141" customWidth="1"/>
    <col min="3" max="3" width="88.5703125" style="165" customWidth="1"/>
    <col min="4" max="4" width="26.140625" style="157" customWidth="1"/>
  </cols>
  <sheetData>
    <row r="1" spans="1:6" ht="51.75" customHeight="1">
      <c r="A1" s="170" t="s">
        <v>84</v>
      </c>
      <c r="B1" s="170" t="s">
        <v>85</v>
      </c>
      <c r="C1" s="171" t="s">
        <v>92</v>
      </c>
      <c r="D1" s="170" t="s">
        <v>384</v>
      </c>
    </row>
    <row r="2" spans="1:6" ht="234.75" customHeight="1">
      <c r="A2" s="172" t="s">
        <v>87</v>
      </c>
      <c r="B2" s="141" t="s">
        <v>86</v>
      </c>
      <c r="C2" s="125" t="s">
        <v>505</v>
      </c>
      <c r="D2" s="125"/>
      <c r="F2" s="165"/>
    </row>
    <row r="3" spans="1:6" ht="44.25" customHeight="1">
      <c r="A3" s="172" t="s">
        <v>87</v>
      </c>
      <c r="B3" s="141" t="s">
        <v>221</v>
      </c>
      <c r="C3" s="125" t="s">
        <v>95</v>
      </c>
    </row>
    <row r="4" spans="1:6" ht="97.5" customHeight="1">
      <c r="A4" s="172" t="s">
        <v>87</v>
      </c>
      <c r="B4" s="141" t="s">
        <v>38</v>
      </c>
      <c r="C4" s="125" t="s">
        <v>283</v>
      </c>
    </row>
    <row r="5" spans="1:6" ht="37.5" customHeight="1">
      <c r="A5" s="172" t="s">
        <v>87</v>
      </c>
      <c r="B5" s="141" t="s">
        <v>284</v>
      </c>
      <c r="C5" s="125" t="s">
        <v>506</v>
      </c>
    </row>
    <row r="6" spans="1:6" ht="112.5" customHeight="1">
      <c r="A6" s="172" t="s">
        <v>87</v>
      </c>
      <c r="B6" s="141" t="s">
        <v>196</v>
      </c>
      <c r="C6" s="125" t="s">
        <v>285</v>
      </c>
    </row>
    <row r="7" spans="1:6" ht="36" customHeight="1">
      <c r="A7" s="173" t="s">
        <v>286</v>
      </c>
      <c r="B7" s="141" t="s">
        <v>286</v>
      </c>
      <c r="C7" s="125" t="s">
        <v>127</v>
      </c>
    </row>
    <row r="8" spans="1:6" ht="168" customHeight="1">
      <c r="A8" s="172">
        <v>1</v>
      </c>
      <c r="B8" s="141" t="s">
        <v>86</v>
      </c>
      <c r="C8" s="157" t="s">
        <v>395</v>
      </c>
      <c r="D8" s="174"/>
    </row>
    <row r="9" spans="1:6" ht="87.75" customHeight="1">
      <c r="A9" s="172">
        <v>1</v>
      </c>
      <c r="B9" s="141" t="s">
        <v>91</v>
      </c>
      <c r="C9" s="125" t="s">
        <v>212</v>
      </c>
    </row>
    <row r="10" spans="1:6" ht="17.25" customHeight="1">
      <c r="A10" s="172"/>
      <c r="C10" s="175" t="s">
        <v>106</v>
      </c>
    </row>
    <row r="11" spans="1:6" ht="49.5" customHeight="1">
      <c r="A11" s="172">
        <v>1</v>
      </c>
      <c r="B11" s="141" t="s">
        <v>351</v>
      </c>
      <c r="C11" s="125" t="s">
        <v>380</v>
      </c>
    </row>
    <row r="12" spans="1:6" ht="47.25" customHeight="1">
      <c r="A12" s="172">
        <v>1</v>
      </c>
      <c r="B12" s="141" t="s">
        <v>287</v>
      </c>
      <c r="C12" s="176" t="s">
        <v>507</v>
      </c>
      <c r="D12" s="157" t="s">
        <v>385</v>
      </c>
    </row>
    <row r="13" spans="1:6" ht="141" customHeight="1">
      <c r="A13" s="172">
        <v>2</v>
      </c>
      <c r="B13" s="141" t="s">
        <v>187</v>
      </c>
      <c r="C13" s="157" t="s">
        <v>508</v>
      </c>
      <c r="D13" s="177"/>
    </row>
    <row r="14" spans="1:6" ht="133.5" customHeight="1">
      <c r="A14" s="172">
        <v>2</v>
      </c>
      <c r="B14" s="141" t="s">
        <v>103</v>
      </c>
      <c r="C14" s="125" t="s">
        <v>402</v>
      </c>
    </row>
    <row r="15" spans="1:6" ht="127.5" customHeight="1">
      <c r="A15" s="172">
        <v>2</v>
      </c>
      <c r="B15" s="141" t="s">
        <v>376</v>
      </c>
      <c r="C15" s="157" t="s">
        <v>396</v>
      </c>
    </row>
    <row r="16" spans="1:6" ht="127.5" customHeight="1">
      <c r="A16" s="178">
        <v>2</v>
      </c>
      <c r="B16" s="179" t="s">
        <v>512</v>
      </c>
      <c r="C16" s="176" t="s">
        <v>513</v>
      </c>
      <c r="D16" s="176" t="s">
        <v>514</v>
      </c>
    </row>
    <row r="17" spans="1:4" ht="99.75" customHeight="1">
      <c r="A17" s="172">
        <v>2</v>
      </c>
      <c r="B17" s="141" t="s">
        <v>210</v>
      </c>
      <c r="C17" s="157" t="s">
        <v>401</v>
      </c>
      <c r="D17" s="177"/>
    </row>
    <row r="18" spans="1:4" ht="66" customHeight="1">
      <c r="A18" s="172">
        <v>2</v>
      </c>
      <c r="B18" s="141" t="s">
        <v>188</v>
      </c>
      <c r="C18" s="125" t="s">
        <v>397</v>
      </c>
    </row>
    <row r="19" spans="1:4" ht="49.5" customHeight="1">
      <c r="A19" s="172">
        <v>2</v>
      </c>
      <c r="B19" s="141" t="s">
        <v>288</v>
      </c>
      <c r="C19" s="125" t="s">
        <v>99</v>
      </c>
    </row>
    <row r="20" spans="1:4" ht="54" customHeight="1">
      <c r="A20" s="172">
        <v>2</v>
      </c>
      <c r="B20" s="141" t="s">
        <v>366</v>
      </c>
      <c r="C20" s="157" t="s">
        <v>374</v>
      </c>
      <c r="D20" s="177"/>
    </row>
    <row r="21" spans="1:4" ht="75" customHeight="1">
      <c r="A21" s="172">
        <v>2</v>
      </c>
      <c r="B21" s="141" t="s">
        <v>190</v>
      </c>
      <c r="C21" s="125" t="s">
        <v>381</v>
      </c>
    </row>
    <row r="22" spans="1:4" ht="116.25" customHeight="1">
      <c r="A22" s="172">
        <v>2</v>
      </c>
      <c r="B22" s="141" t="s">
        <v>352</v>
      </c>
      <c r="C22" s="125" t="s">
        <v>509</v>
      </c>
    </row>
    <row r="23" spans="1:4" ht="59.25" customHeight="1">
      <c r="A23" s="172">
        <v>2</v>
      </c>
      <c r="B23" s="141" t="s">
        <v>88</v>
      </c>
      <c r="C23" s="125" t="s">
        <v>289</v>
      </c>
    </row>
    <row r="24" spans="1:4" ht="48" customHeight="1">
      <c r="A24" s="172">
        <v>2</v>
      </c>
      <c r="B24" s="141" t="s">
        <v>290</v>
      </c>
      <c r="C24" s="125" t="s">
        <v>353</v>
      </c>
    </row>
    <row r="25" spans="1:4" ht="63" customHeight="1">
      <c r="A25" s="172">
        <v>2</v>
      </c>
      <c r="B25" s="141" t="s">
        <v>360</v>
      </c>
      <c r="C25" s="157" t="s">
        <v>470</v>
      </c>
      <c r="D25" s="177"/>
    </row>
    <row r="26" spans="1:4" ht="61.5" customHeight="1">
      <c r="A26" s="172">
        <v>2</v>
      </c>
      <c r="B26" s="141" t="s">
        <v>372</v>
      </c>
      <c r="C26" s="157" t="s">
        <v>373</v>
      </c>
      <c r="D26" s="177"/>
    </row>
    <row r="27" spans="1:4" ht="89.25">
      <c r="A27" s="172">
        <v>3</v>
      </c>
      <c r="B27" s="141" t="s">
        <v>90</v>
      </c>
      <c r="C27" s="176" t="s">
        <v>510</v>
      </c>
      <c r="D27" s="180" t="s">
        <v>511</v>
      </c>
    </row>
    <row r="28" spans="1:4" ht="102" customHeight="1">
      <c r="A28" s="172">
        <v>3</v>
      </c>
      <c r="B28" s="141" t="s">
        <v>90</v>
      </c>
      <c r="C28" s="157" t="s">
        <v>516</v>
      </c>
    </row>
    <row r="29" spans="1:4" ht="79.5" customHeight="1">
      <c r="A29" s="172">
        <v>3</v>
      </c>
      <c r="B29" s="141" t="s">
        <v>398</v>
      </c>
      <c r="C29" s="157" t="s">
        <v>459</v>
      </c>
    </row>
    <row r="30" spans="1:4" ht="63.75" customHeight="1">
      <c r="A30" s="172">
        <v>4</v>
      </c>
      <c r="B30" s="141" t="s">
        <v>178</v>
      </c>
      <c r="C30" s="157" t="s">
        <v>354</v>
      </c>
    </row>
    <row r="31" spans="1:4" ht="66" customHeight="1">
      <c r="A31" s="172">
        <v>4</v>
      </c>
      <c r="B31" s="141" t="s">
        <v>89</v>
      </c>
      <c r="C31" s="157" t="s">
        <v>355</v>
      </c>
    </row>
    <row r="32" spans="1:4" ht="45" customHeight="1">
      <c r="A32" s="173" t="s">
        <v>291</v>
      </c>
      <c r="B32" s="141" t="s">
        <v>86</v>
      </c>
      <c r="C32" s="125" t="s">
        <v>93</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5"/>
  <sheetViews>
    <sheetView showGridLines="0" workbookViewId="0">
      <selection activeCell="M25" sqref="M25"/>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1" customWidth="1"/>
  </cols>
  <sheetData>
    <row r="1" spans="1:27">
      <c r="A1" t="s">
        <v>182</v>
      </c>
      <c r="B1" s="480" t="str">
        <f>CharterName</f>
        <v>Tucson International Academy</v>
      </c>
      <c r="C1" s="480"/>
      <c r="E1" s="114" t="s">
        <v>186</v>
      </c>
      <c r="F1" s="220" t="str">
        <f>Cover!M1</f>
        <v>Pima</v>
      </c>
      <c r="G1" s="34" t="s">
        <v>221</v>
      </c>
      <c r="H1" s="36" t="str">
        <f>CTD</f>
        <v>108714000</v>
      </c>
      <c r="Y1" s="167"/>
    </row>
    <row r="2" spans="1:27">
      <c r="B2" s="222"/>
      <c r="C2" s="222"/>
      <c r="E2" s="34"/>
      <c r="F2" s="161"/>
      <c r="G2" s="34"/>
      <c r="H2" s="43"/>
      <c r="Y2" s="167"/>
    </row>
    <row r="3" spans="1:27">
      <c r="B3" s="222"/>
      <c r="C3" s="222"/>
      <c r="E3" s="34"/>
      <c r="F3" s="161"/>
      <c r="G3" s="34"/>
      <c r="H3" s="43"/>
      <c r="Y3" s="167"/>
    </row>
    <row r="4" spans="1:27">
      <c r="B4" s="222"/>
      <c r="C4" s="481" t="s">
        <v>185</v>
      </c>
      <c r="D4" s="481"/>
      <c r="E4" s="481"/>
      <c r="F4" s="481"/>
      <c r="G4" s="481"/>
      <c r="H4" s="481"/>
      <c r="Y4" s="167"/>
    </row>
    <row r="5" spans="1:27">
      <c r="Y5" s="167"/>
      <c r="Z5" s="221" t="s">
        <v>118</v>
      </c>
    </row>
    <row r="6" spans="1:27">
      <c r="C6" s="117" t="s">
        <v>113</v>
      </c>
      <c r="D6" s="117" t="s">
        <v>222</v>
      </c>
      <c r="E6" s="482" t="s">
        <v>223</v>
      </c>
      <c r="F6" s="483"/>
      <c r="G6" s="117" t="s">
        <v>224</v>
      </c>
      <c r="H6" s="117" t="s">
        <v>225</v>
      </c>
      <c r="I6" s="117" t="s">
        <v>197</v>
      </c>
      <c r="Y6" s="167"/>
      <c r="Z6" s="221" t="s">
        <v>115</v>
      </c>
      <c r="AA6" s="223"/>
    </row>
    <row r="7" spans="1:27">
      <c r="A7" s="475" t="s">
        <v>109</v>
      </c>
      <c r="B7" s="476"/>
      <c r="C7" s="21" t="s">
        <v>116</v>
      </c>
      <c r="D7" s="21" t="s">
        <v>525</v>
      </c>
      <c r="E7" s="484" t="s">
        <v>526</v>
      </c>
      <c r="F7" s="485"/>
      <c r="G7" s="230" t="s">
        <v>522</v>
      </c>
      <c r="H7" s="22" t="s">
        <v>527</v>
      </c>
      <c r="I7" s="21"/>
      <c r="Y7" s="167"/>
      <c r="Z7" s="221" t="s">
        <v>114</v>
      </c>
      <c r="AA7" s="223"/>
    </row>
    <row r="8" spans="1:27">
      <c r="A8" s="475" t="s">
        <v>109</v>
      </c>
      <c r="B8" s="476"/>
      <c r="C8" s="21" t="s">
        <v>116</v>
      </c>
      <c r="D8" s="21" t="s">
        <v>539</v>
      </c>
      <c r="E8" s="471" t="s">
        <v>540</v>
      </c>
      <c r="F8" s="472"/>
      <c r="G8" s="230" t="s">
        <v>541</v>
      </c>
      <c r="H8" s="22" t="s">
        <v>542</v>
      </c>
      <c r="I8" s="21"/>
      <c r="Y8" s="167"/>
      <c r="Z8" s="221" t="s">
        <v>116</v>
      </c>
      <c r="AA8" s="223"/>
    </row>
    <row r="9" spans="1:27">
      <c r="A9" s="475" t="s">
        <v>110</v>
      </c>
      <c r="B9" s="476"/>
      <c r="C9" s="21"/>
      <c r="D9" s="21"/>
      <c r="E9" s="471"/>
      <c r="F9" s="472"/>
      <c r="G9" s="231"/>
      <c r="H9" s="22"/>
      <c r="I9" s="21"/>
      <c r="Y9" s="167"/>
      <c r="Z9" s="227" t="s">
        <v>117</v>
      </c>
      <c r="AA9" s="223"/>
    </row>
    <row r="10" spans="1:27">
      <c r="A10" s="475" t="s">
        <v>108</v>
      </c>
      <c r="B10" s="476"/>
      <c r="C10" s="21"/>
      <c r="D10" s="21"/>
      <c r="E10" s="471"/>
      <c r="F10" s="472"/>
      <c r="G10" s="230"/>
      <c r="H10" s="22"/>
      <c r="I10" s="21"/>
      <c r="Y10" s="167"/>
      <c r="AA10" s="223"/>
    </row>
    <row r="11" spans="1:27">
      <c r="A11" s="224" t="s">
        <v>200</v>
      </c>
      <c r="B11" s="225"/>
      <c r="C11" s="21" t="s">
        <v>116</v>
      </c>
      <c r="D11" s="21" t="s">
        <v>531</v>
      </c>
      <c r="E11" s="471" t="s">
        <v>532</v>
      </c>
      <c r="F11" s="472"/>
      <c r="G11" s="231" t="s">
        <v>533</v>
      </c>
      <c r="H11" s="22" t="s">
        <v>534</v>
      </c>
      <c r="I11" s="21"/>
      <c r="Y11" s="167"/>
      <c r="Z11" s="221" t="s">
        <v>204</v>
      </c>
      <c r="AA11" s="223"/>
    </row>
    <row r="12" spans="1:27">
      <c r="A12" s="475" t="s">
        <v>107</v>
      </c>
      <c r="B12" s="476"/>
      <c r="C12" s="21" t="s">
        <v>116</v>
      </c>
      <c r="D12" s="21" t="s">
        <v>535</v>
      </c>
      <c r="E12" s="471" t="s">
        <v>536</v>
      </c>
      <c r="F12" s="472"/>
      <c r="G12" s="230" t="s">
        <v>537</v>
      </c>
      <c r="H12" s="22" t="s">
        <v>538</v>
      </c>
      <c r="I12" s="21"/>
      <c r="Y12" s="167"/>
      <c r="Z12" s="221" t="s">
        <v>205</v>
      </c>
      <c r="AA12" s="223"/>
    </row>
    <row r="13" spans="1:27">
      <c r="A13" s="475" t="s">
        <v>112</v>
      </c>
      <c r="B13" s="476"/>
      <c r="C13" s="21" t="s">
        <v>116</v>
      </c>
      <c r="D13" s="21" t="s">
        <v>535</v>
      </c>
      <c r="E13" s="471" t="s">
        <v>536</v>
      </c>
      <c r="F13" s="472"/>
      <c r="G13" s="230" t="s">
        <v>537</v>
      </c>
      <c r="H13" s="22" t="s">
        <v>538</v>
      </c>
      <c r="I13" s="21"/>
      <c r="Y13" s="167"/>
      <c r="AA13" s="223"/>
    </row>
    <row r="14" spans="1:27">
      <c r="A14" s="224" t="s">
        <v>198</v>
      </c>
      <c r="B14" s="225"/>
      <c r="C14" s="21"/>
      <c r="D14" s="21"/>
      <c r="E14" s="471"/>
      <c r="F14" s="472"/>
      <c r="G14" s="231"/>
      <c r="H14" s="22"/>
      <c r="I14" s="21"/>
      <c r="Y14" s="167"/>
      <c r="AA14" s="223"/>
    </row>
    <row r="15" spans="1:27">
      <c r="A15" s="224" t="s">
        <v>209</v>
      </c>
      <c r="B15" s="225"/>
      <c r="C15" s="21" t="s">
        <v>116</v>
      </c>
      <c r="D15" s="21" t="s">
        <v>535</v>
      </c>
      <c r="E15" s="471" t="s">
        <v>536</v>
      </c>
      <c r="F15" s="472"/>
      <c r="G15" s="231" t="s">
        <v>537</v>
      </c>
      <c r="H15" s="22" t="s">
        <v>538</v>
      </c>
      <c r="I15" s="21"/>
      <c r="Y15" s="167"/>
      <c r="AA15" s="223"/>
    </row>
    <row r="16" spans="1:27">
      <c r="A16" s="224" t="s">
        <v>199</v>
      </c>
      <c r="B16" s="225"/>
      <c r="C16" s="21"/>
      <c r="D16" s="21"/>
      <c r="E16" s="471"/>
      <c r="F16" s="472"/>
      <c r="G16" s="231"/>
      <c r="H16" s="22"/>
      <c r="I16" s="21"/>
      <c r="Y16" s="167"/>
      <c r="AA16" s="223"/>
    </row>
    <row r="17" spans="1:27">
      <c r="A17" s="224" t="s">
        <v>202</v>
      </c>
      <c r="B17" s="225"/>
      <c r="C17" s="21" t="s">
        <v>115</v>
      </c>
      <c r="D17" s="21" t="s">
        <v>543</v>
      </c>
      <c r="E17" s="471" t="s">
        <v>544</v>
      </c>
      <c r="F17" s="472"/>
      <c r="G17" s="231" t="s">
        <v>545</v>
      </c>
      <c r="H17" s="22" t="s">
        <v>546</v>
      </c>
      <c r="I17" s="21"/>
      <c r="Y17" s="167"/>
      <c r="AA17" s="223"/>
    </row>
    <row r="18" spans="1:27">
      <c r="A18" s="475" t="s">
        <v>111</v>
      </c>
      <c r="B18" s="476"/>
      <c r="C18" s="21" t="s">
        <v>115</v>
      </c>
      <c r="D18" s="21" t="s">
        <v>547</v>
      </c>
      <c r="E18" s="471" t="s">
        <v>548</v>
      </c>
      <c r="F18" s="472"/>
      <c r="G18" s="231" t="s">
        <v>549</v>
      </c>
      <c r="H18" s="22" t="s">
        <v>550</v>
      </c>
      <c r="I18" s="21"/>
      <c r="Y18" s="167"/>
      <c r="AA18" s="223"/>
    </row>
    <row r="19" spans="1:27">
      <c r="A19" s="475" t="s">
        <v>111</v>
      </c>
      <c r="B19" s="476"/>
      <c r="C19" s="21" t="s">
        <v>116</v>
      </c>
      <c r="D19" s="21" t="s">
        <v>551</v>
      </c>
      <c r="E19" s="471" t="s">
        <v>552</v>
      </c>
      <c r="F19" s="472"/>
      <c r="G19" s="231" t="s">
        <v>553</v>
      </c>
      <c r="H19" s="22" t="s">
        <v>554</v>
      </c>
      <c r="I19" s="21"/>
      <c r="Y19" s="167"/>
      <c r="AA19" s="223"/>
    </row>
    <row r="20" spans="1:27">
      <c r="A20" s="475" t="s">
        <v>111</v>
      </c>
      <c r="B20" s="476"/>
      <c r="C20" s="21" t="s">
        <v>115</v>
      </c>
      <c r="D20" s="21" t="s">
        <v>555</v>
      </c>
      <c r="E20" s="471" t="s">
        <v>556</v>
      </c>
      <c r="F20" s="472"/>
      <c r="G20" s="231" t="s">
        <v>557</v>
      </c>
      <c r="H20" s="22" t="s">
        <v>558</v>
      </c>
      <c r="I20" s="21"/>
      <c r="Y20" s="167"/>
      <c r="AA20" s="223"/>
    </row>
    <row r="21" spans="1:27">
      <c r="A21" s="475" t="s">
        <v>111</v>
      </c>
      <c r="B21" s="476"/>
      <c r="C21" s="21" t="s">
        <v>116</v>
      </c>
      <c r="D21" s="21" t="s">
        <v>559</v>
      </c>
      <c r="E21" s="471" t="s">
        <v>526</v>
      </c>
      <c r="F21" s="472"/>
      <c r="G21" s="231" t="s">
        <v>522</v>
      </c>
      <c r="H21" s="22" t="s">
        <v>560</v>
      </c>
      <c r="I21" s="21"/>
      <c r="Y21" s="167"/>
      <c r="AA21" s="223"/>
    </row>
    <row r="22" spans="1:27">
      <c r="A22" s="475" t="s">
        <v>111</v>
      </c>
      <c r="B22" s="476"/>
      <c r="C22" s="21" t="s">
        <v>115</v>
      </c>
      <c r="D22" s="21" t="s">
        <v>528</v>
      </c>
      <c r="E22" s="471" t="s">
        <v>526</v>
      </c>
      <c r="F22" s="472"/>
      <c r="G22" s="231" t="s">
        <v>529</v>
      </c>
      <c r="H22" s="22" t="s">
        <v>530</v>
      </c>
      <c r="I22" s="21"/>
      <c r="Y22" s="167"/>
      <c r="AA22" s="223"/>
    </row>
    <row r="23" spans="1:27">
      <c r="A23" s="475" t="s">
        <v>111</v>
      </c>
      <c r="B23" s="476"/>
      <c r="C23" s="21"/>
      <c r="D23" s="21"/>
      <c r="E23" s="473"/>
      <c r="F23" s="474"/>
      <c r="G23" s="231"/>
      <c r="H23" s="22"/>
      <c r="I23" s="21"/>
      <c r="Y23" s="167"/>
      <c r="AA23" s="223"/>
    </row>
    <row r="24" spans="1:27">
      <c r="A24" s="475" t="s">
        <v>111</v>
      </c>
      <c r="B24" s="476"/>
      <c r="C24" s="21"/>
      <c r="D24" s="21"/>
      <c r="E24" s="471"/>
      <c r="F24" s="472"/>
      <c r="G24" s="231"/>
      <c r="H24" s="22"/>
      <c r="I24" s="21"/>
      <c r="Y24" s="167"/>
      <c r="AA24" s="223"/>
    </row>
    <row r="25" spans="1:27">
      <c r="A25" s="475" t="s">
        <v>111</v>
      </c>
      <c r="B25" s="476"/>
      <c r="C25" s="21"/>
      <c r="D25" s="21"/>
      <c r="E25" s="471"/>
      <c r="F25" s="472"/>
      <c r="G25" s="231"/>
      <c r="H25" s="22"/>
      <c r="I25" s="21"/>
      <c r="Y25" s="167"/>
      <c r="AA25" s="223"/>
    </row>
    <row r="26" spans="1:27">
      <c r="A26" s="475" t="s">
        <v>111</v>
      </c>
      <c r="B26" s="476"/>
      <c r="C26" s="21"/>
      <c r="D26" s="21"/>
      <c r="E26" s="471"/>
      <c r="F26" s="472"/>
      <c r="G26" s="231"/>
      <c r="H26" s="22"/>
      <c r="I26" s="21"/>
      <c r="Y26" s="167"/>
      <c r="AA26" s="223"/>
    </row>
    <row r="27" spans="1:27">
      <c r="Y27" s="167"/>
      <c r="Z27" s="227" t="s">
        <v>119</v>
      </c>
      <c r="AA27" s="223"/>
    </row>
    <row r="28" spans="1:27">
      <c r="C28" s="486" t="s">
        <v>208</v>
      </c>
      <c r="D28" s="486"/>
      <c r="Y28" s="167"/>
      <c r="Z28" s="227" t="s">
        <v>120</v>
      </c>
      <c r="AA28" s="223"/>
    </row>
    <row r="29" spans="1:27">
      <c r="A29" s="475" t="s">
        <v>126</v>
      </c>
      <c r="B29" s="476"/>
      <c r="C29" s="484" t="s">
        <v>124</v>
      </c>
      <c r="D29" s="485"/>
      <c r="Y29" s="167"/>
      <c r="Z29" s="221" t="s">
        <v>379</v>
      </c>
      <c r="AA29" s="223"/>
    </row>
    <row r="30" spans="1:27">
      <c r="Y30" s="167"/>
      <c r="Z30" s="221" t="s">
        <v>294</v>
      </c>
      <c r="AA30" s="223"/>
    </row>
    <row r="31" spans="1:27" ht="12.75" customHeight="1">
      <c r="A31" t="s">
        <v>201</v>
      </c>
      <c r="C31" s="484" t="s">
        <v>561</v>
      </c>
      <c r="D31" s="485"/>
      <c r="F31" s="133"/>
      <c r="G31" s="133"/>
      <c r="Y31" s="167"/>
      <c r="Z31" s="227" t="s">
        <v>121</v>
      </c>
      <c r="AA31" s="223"/>
    </row>
    <row r="32" spans="1:27">
      <c r="F32" s="133"/>
      <c r="G32" s="133"/>
      <c r="Y32" s="167"/>
      <c r="Z32" s="227" t="s">
        <v>122</v>
      </c>
      <c r="AA32" s="223"/>
    </row>
    <row r="33" spans="1:27">
      <c r="A33" s="478" t="s">
        <v>203</v>
      </c>
      <c r="B33" s="478"/>
      <c r="C33" s="487" t="s">
        <v>205</v>
      </c>
      <c r="D33" s="488"/>
      <c r="F33" s="133"/>
      <c r="G33" s="133"/>
      <c r="Y33" s="167"/>
      <c r="Z33" s="221" t="s">
        <v>358</v>
      </c>
      <c r="AA33" s="223"/>
    </row>
    <row r="34" spans="1:27">
      <c r="A34" s="478"/>
      <c r="B34" s="478"/>
      <c r="C34" s="489"/>
      <c r="D34" s="490"/>
      <c r="Y34" s="167"/>
      <c r="Z34" s="221" t="s">
        <v>357</v>
      </c>
      <c r="AA34" s="223"/>
    </row>
    <row r="35" spans="1:27">
      <c r="Y35" s="167"/>
      <c r="Z35" s="221" t="s">
        <v>359</v>
      </c>
      <c r="AA35" s="223"/>
    </row>
    <row r="36" spans="1:27">
      <c r="A36" s="451" t="s">
        <v>165</v>
      </c>
      <c r="B36" s="479"/>
      <c r="C36" s="473" t="s">
        <v>562</v>
      </c>
      <c r="D36" s="474"/>
      <c r="Y36" s="167"/>
      <c r="Z36" s="227" t="s">
        <v>356</v>
      </c>
      <c r="AA36" s="223"/>
    </row>
    <row r="37" spans="1:27">
      <c r="Y37" s="167"/>
      <c r="Z37" s="221" t="s">
        <v>386</v>
      </c>
      <c r="AA37" s="223"/>
    </row>
    <row r="38" spans="1:27">
      <c r="Y38" s="167"/>
      <c r="Z38" s="227" t="s">
        <v>123</v>
      </c>
      <c r="AA38" s="223"/>
    </row>
    <row r="39" spans="1:27">
      <c r="Y39" s="167"/>
      <c r="Z39" s="227" t="s">
        <v>124</v>
      </c>
      <c r="AA39" s="223"/>
    </row>
    <row r="40" spans="1:27" ht="15">
      <c r="A40" s="229"/>
      <c r="B40" s="229"/>
      <c r="Y40" s="167"/>
      <c r="Z40" s="227" t="s">
        <v>125</v>
      </c>
      <c r="AA40" s="223"/>
    </row>
    <row r="41" spans="1:27">
      <c r="Y41" s="167"/>
      <c r="AA41" s="223"/>
    </row>
    <row r="42" spans="1:27">
      <c r="Y42" s="167"/>
      <c r="Z42" s="227"/>
      <c r="AA42" s="223"/>
    </row>
    <row r="43" spans="1:27">
      <c r="AA43" s="223"/>
    </row>
    <row r="44" spans="1:27" ht="15">
      <c r="A44" s="477"/>
      <c r="B44" s="477"/>
      <c r="AA44" s="223"/>
    </row>
    <row r="47" spans="1:27" ht="15">
      <c r="A47" s="229"/>
      <c r="B47" s="229"/>
    </row>
    <row r="49" spans="2:2" ht="15">
      <c r="B49" s="229"/>
    </row>
    <row r="55" spans="2:2" ht="15">
      <c r="B55" s="229"/>
    </row>
  </sheetData>
  <sheetProtection sheet="1" objects="1" scenarios="1"/>
  <mergeCells count="47">
    <mergeCell ref="C28:D28"/>
    <mergeCell ref="C29:D29"/>
    <mergeCell ref="C33:D34"/>
    <mergeCell ref="C31:D31"/>
    <mergeCell ref="A7:B7"/>
    <mergeCell ref="A8:B8"/>
    <mergeCell ref="A10:B10"/>
    <mergeCell ref="A12:B12"/>
    <mergeCell ref="A26:B26"/>
    <mergeCell ref="B1:C1"/>
    <mergeCell ref="C4:H4"/>
    <mergeCell ref="A9:B9"/>
    <mergeCell ref="E6:F6"/>
    <mergeCell ref="E7:F7"/>
    <mergeCell ref="E8:F8"/>
    <mergeCell ref="E12:F12"/>
    <mergeCell ref="E19:F19"/>
    <mergeCell ref="A13:B13"/>
    <mergeCell ref="A44:B44"/>
    <mergeCell ref="A29:B29"/>
    <mergeCell ref="A20:B20"/>
    <mergeCell ref="A21:B21"/>
    <mergeCell ref="A22:B22"/>
    <mergeCell ref="A33:B34"/>
    <mergeCell ref="A25:B25"/>
    <mergeCell ref="C36:D36"/>
    <mergeCell ref="A36:B36"/>
    <mergeCell ref="A23:B23"/>
    <mergeCell ref="A24:B24"/>
    <mergeCell ref="A18:B18"/>
    <mergeCell ref="A19:B19"/>
    <mergeCell ref="E25:F25"/>
    <mergeCell ref="E11:F11"/>
    <mergeCell ref="E9:F9"/>
    <mergeCell ref="E10:F10"/>
    <mergeCell ref="E26:F26"/>
    <mergeCell ref="E15:F15"/>
    <mergeCell ref="E20:F20"/>
    <mergeCell ref="E21:F21"/>
    <mergeCell ref="E22:F22"/>
    <mergeCell ref="E23:F23"/>
    <mergeCell ref="E13:F13"/>
    <mergeCell ref="E14:F14"/>
    <mergeCell ref="E24:F24"/>
    <mergeCell ref="E16:F16"/>
    <mergeCell ref="E17:F17"/>
    <mergeCell ref="E18:F18"/>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s>
  <pageMargins left="0.7" right="0.7" top="0.75" bottom="0.75" header="0.3" footer="0.3"/>
  <pageSetup scale="70" orientation="landscape" r:id="rId1"/>
  <headerFooter>
    <oddFooter>&amp;L&amp;"Arial,Bold"Rev. 5/23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topLeftCell="A8" workbookViewId="0">
      <selection activeCell="K22" sqref="K22"/>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3" customWidth="1"/>
    <col min="15" max="15" width="9" customWidth="1"/>
  </cols>
  <sheetData>
    <row r="1" spans="1:14" ht="12" customHeight="1">
      <c r="A1" t="s">
        <v>182</v>
      </c>
      <c r="D1" s="491" t="str">
        <f>CharterName</f>
        <v>Tucson International Academy</v>
      </c>
      <c r="E1" s="491"/>
      <c r="F1" s="491"/>
      <c r="H1" s="34" t="s">
        <v>128</v>
      </c>
      <c r="I1" s="492" t="str">
        <f>Cover!M1</f>
        <v>Pima</v>
      </c>
      <c r="J1" s="492"/>
      <c r="L1" s="34" t="s">
        <v>221</v>
      </c>
      <c r="M1" s="492" t="str">
        <f>CTD</f>
        <v>108714000</v>
      </c>
      <c r="N1" s="492"/>
    </row>
    <row r="2" spans="1:14" ht="3.75" customHeight="1">
      <c r="A2" s="232"/>
      <c r="B2" s="232"/>
      <c r="C2" s="232"/>
      <c r="D2" s="232"/>
      <c r="E2" s="232"/>
      <c r="F2" s="232"/>
      <c r="G2" s="232"/>
      <c r="H2" s="232"/>
      <c r="I2" s="232"/>
      <c r="J2" s="146"/>
      <c r="K2" s="146"/>
      <c r="L2" s="146"/>
      <c r="M2" s="146"/>
    </row>
    <row r="3" spans="1:14" ht="12" customHeight="1">
      <c r="B3" s="233"/>
      <c r="F3" s="234"/>
      <c r="H3" s="234" t="s">
        <v>9</v>
      </c>
      <c r="I3" s="234"/>
      <c r="J3" s="234"/>
      <c r="K3" s="235" t="s">
        <v>27</v>
      </c>
      <c r="L3" s="236"/>
      <c r="M3" s="237"/>
      <c r="N3" s="88"/>
    </row>
    <row r="4" spans="1:14" ht="12" customHeight="1">
      <c r="A4" t="s">
        <v>45</v>
      </c>
      <c r="D4" s="493"/>
      <c r="F4" s="238"/>
      <c r="G4" s="239" t="s">
        <v>8</v>
      </c>
      <c r="H4" s="234" t="s">
        <v>226</v>
      </c>
      <c r="J4" s="238"/>
      <c r="K4" s="234" t="s">
        <v>94</v>
      </c>
      <c r="L4" s="234" t="s">
        <v>28</v>
      </c>
      <c r="M4" s="119" t="s">
        <v>29</v>
      </c>
      <c r="N4" s="88"/>
    </row>
    <row r="5" spans="1:14" ht="12" customHeight="1">
      <c r="D5" s="493"/>
      <c r="F5" s="234" t="s">
        <v>10</v>
      </c>
      <c r="G5" s="239" t="s">
        <v>228</v>
      </c>
      <c r="H5" s="234" t="s">
        <v>13</v>
      </c>
      <c r="I5" s="234" t="s">
        <v>11</v>
      </c>
      <c r="J5" s="234" t="s">
        <v>12</v>
      </c>
      <c r="K5" s="234" t="s">
        <v>227</v>
      </c>
      <c r="L5" s="234" t="s">
        <v>227</v>
      </c>
      <c r="M5" s="119" t="s">
        <v>30</v>
      </c>
      <c r="N5" s="88"/>
    </row>
    <row r="6" spans="1:14" ht="12" customHeight="1">
      <c r="A6" s="240" t="s">
        <v>387</v>
      </c>
      <c r="B6" s="146"/>
      <c r="C6" s="146"/>
      <c r="D6" s="146"/>
      <c r="E6" s="146"/>
      <c r="F6" s="241">
        <v>6100</v>
      </c>
      <c r="G6" s="241">
        <v>6200</v>
      </c>
      <c r="H6" s="241">
        <v>6500</v>
      </c>
      <c r="I6" s="241">
        <v>6600</v>
      </c>
      <c r="J6" s="241">
        <v>6800</v>
      </c>
      <c r="K6" s="234">
        <v>2023</v>
      </c>
      <c r="L6" s="119">
        <v>2024</v>
      </c>
      <c r="M6" s="119" t="s">
        <v>312</v>
      </c>
      <c r="N6" s="88"/>
    </row>
    <row r="7" spans="1:14" ht="12" customHeight="1">
      <c r="A7" t="s">
        <v>295</v>
      </c>
      <c r="F7" s="242"/>
      <c r="G7" s="242"/>
      <c r="H7" s="242"/>
      <c r="I7" s="242"/>
      <c r="J7" s="243"/>
      <c r="K7" s="244"/>
      <c r="L7" s="244"/>
      <c r="M7" s="245"/>
    </row>
    <row r="8" spans="1:14" ht="12" customHeight="1">
      <c r="B8" t="s">
        <v>14</v>
      </c>
      <c r="E8" s="103">
        <v>1</v>
      </c>
      <c r="F8" s="2">
        <f>853505+26640</f>
        <v>880145</v>
      </c>
      <c r="G8" s="2">
        <f>188454+5882</f>
        <v>194336</v>
      </c>
      <c r="H8" s="2">
        <v>109800</v>
      </c>
      <c r="I8" s="2">
        <v>56300</v>
      </c>
      <c r="J8" s="17"/>
      <c r="K8" s="248">
        <f>[1]!SP1000P100F1000</f>
        <v>1369529</v>
      </c>
      <c r="L8" s="248">
        <f>SUM(F8:J8)</f>
        <v>1240581</v>
      </c>
      <c r="M8" s="249">
        <f>IF(K8=0," ",(L8-K8)/K8)</f>
        <v>-9.4E-2</v>
      </c>
      <c r="N8" s="250">
        <v>1</v>
      </c>
    </row>
    <row r="9" spans="1:14" ht="12" customHeight="1">
      <c r="B9" t="s">
        <v>296</v>
      </c>
      <c r="E9" s="103"/>
      <c r="F9" s="242"/>
      <c r="G9" s="242"/>
      <c r="H9" s="242"/>
      <c r="I9" s="242"/>
      <c r="J9" s="243"/>
      <c r="K9" s="245"/>
      <c r="L9" s="245"/>
      <c r="M9" s="245"/>
      <c r="N9" s="250"/>
    </row>
    <row r="10" spans="1:14" ht="12" customHeight="1">
      <c r="B10" t="s">
        <v>50</v>
      </c>
      <c r="E10" s="103">
        <v>2</v>
      </c>
      <c r="F10" s="2">
        <v>99588</v>
      </c>
      <c r="G10" s="2">
        <v>21989</v>
      </c>
      <c r="H10" s="2">
        <v>27800</v>
      </c>
      <c r="I10" s="2">
        <v>9150</v>
      </c>
      <c r="J10" s="17">
        <v>800</v>
      </c>
      <c r="K10" s="246">
        <f>[1]!SP1000P100F2100</f>
        <v>139003</v>
      </c>
      <c r="L10" s="246">
        <f>SUM(F10:J10)</f>
        <v>159327</v>
      </c>
      <c r="M10" s="251">
        <f>IF(K10=0," ",(L10-K10)/K10)</f>
        <v>0.14599999999999999</v>
      </c>
      <c r="N10" s="250">
        <v>2</v>
      </c>
    </row>
    <row r="11" spans="1:14" ht="12" customHeight="1">
      <c r="B11" t="s">
        <v>60</v>
      </c>
      <c r="E11" s="103">
        <v>3</v>
      </c>
      <c r="F11" s="2">
        <v>38160</v>
      </c>
      <c r="G11" s="2">
        <v>7662</v>
      </c>
      <c r="H11" s="2">
        <v>38800</v>
      </c>
      <c r="I11" s="2">
        <v>8400</v>
      </c>
      <c r="J11" s="2"/>
      <c r="K11" s="246">
        <f>[1]!SP1000P100F2200</f>
        <v>92049</v>
      </c>
      <c r="L11" s="246">
        <f t="shared" ref="L11:L23" si="0">SUM(F11:J11)</f>
        <v>93022</v>
      </c>
      <c r="M11" s="251">
        <f t="shared" ref="M11:M23" si="1">IF(K11=0," ",(L11-K11)/K11)</f>
        <v>1.0999999999999999E-2</v>
      </c>
      <c r="N11" s="252">
        <v>3</v>
      </c>
    </row>
    <row r="12" spans="1:14" ht="12" customHeight="1">
      <c r="B12" t="s">
        <v>297</v>
      </c>
      <c r="E12" s="103">
        <v>4</v>
      </c>
      <c r="F12" s="2"/>
      <c r="G12" s="2"/>
      <c r="H12" s="2">
        <v>4000</v>
      </c>
      <c r="I12" s="2"/>
      <c r="J12" s="2"/>
      <c r="K12" s="253">
        <f>[1]!SP1000P100F2300</f>
        <v>33000</v>
      </c>
      <c r="L12" s="246">
        <f t="shared" si="0"/>
        <v>4000</v>
      </c>
      <c r="M12" s="251">
        <f t="shared" si="1"/>
        <v>-0.879</v>
      </c>
      <c r="N12" s="252">
        <v>4</v>
      </c>
    </row>
    <row r="13" spans="1:14" ht="12" customHeight="1">
      <c r="B13" t="s">
        <v>298</v>
      </c>
      <c r="E13" s="103">
        <v>5</v>
      </c>
      <c r="F13" s="2">
        <v>493200</v>
      </c>
      <c r="G13" s="2">
        <v>99034</v>
      </c>
      <c r="H13" s="2">
        <v>167300</v>
      </c>
      <c r="I13" s="2">
        <v>141700</v>
      </c>
      <c r="J13" s="2">
        <v>12500</v>
      </c>
      <c r="K13" s="253">
        <f>[1]!SP1000P100F2400</f>
        <v>792372</v>
      </c>
      <c r="L13" s="246">
        <f t="shared" si="0"/>
        <v>913734</v>
      </c>
      <c r="M13" s="251">
        <f t="shared" si="1"/>
        <v>0.153</v>
      </c>
      <c r="N13" s="252">
        <v>5</v>
      </c>
    </row>
    <row r="14" spans="1:14" ht="12" customHeight="1">
      <c r="B14" t="s">
        <v>299</v>
      </c>
      <c r="E14" s="103">
        <v>6</v>
      </c>
      <c r="F14" s="2"/>
      <c r="G14" s="2"/>
      <c r="H14" s="2">
        <v>232800</v>
      </c>
      <c r="I14" s="2">
        <v>3810</v>
      </c>
      <c r="J14" s="2">
        <v>112045</v>
      </c>
      <c r="K14" s="253">
        <f>[1]!SP1000P100F2500</f>
        <v>533213</v>
      </c>
      <c r="L14" s="246">
        <f>SUM(F14:J14)</f>
        <v>348655</v>
      </c>
      <c r="M14" s="251">
        <f t="shared" si="1"/>
        <v>-0.34599999999999997</v>
      </c>
      <c r="N14" s="252">
        <v>6</v>
      </c>
    </row>
    <row r="15" spans="1:14" ht="12" customHeight="1">
      <c r="B15" t="s">
        <v>300</v>
      </c>
      <c r="E15" s="103">
        <v>7</v>
      </c>
      <c r="F15" s="2">
        <v>58325</v>
      </c>
      <c r="G15" s="2">
        <v>11712</v>
      </c>
      <c r="H15" s="2">
        <v>1093862</v>
      </c>
      <c r="I15" s="2">
        <v>117900</v>
      </c>
      <c r="J15" s="2">
        <v>2600</v>
      </c>
      <c r="K15" s="253">
        <f>[1]!SP1000P100F2600</f>
        <v>573209</v>
      </c>
      <c r="L15" s="246">
        <f t="shared" si="0"/>
        <v>1284399</v>
      </c>
      <c r="M15" s="251">
        <f t="shared" si="1"/>
        <v>1.2410000000000001</v>
      </c>
      <c r="N15" s="252">
        <v>7</v>
      </c>
    </row>
    <row r="16" spans="1:14" ht="12" customHeight="1">
      <c r="B16" t="s">
        <v>301</v>
      </c>
      <c r="E16" s="103">
        <v>8</v>
      </c>
      <c r="F16" s="2"/>
      <c r="G16" s="2"/>
      <c r="H16" s="2"/>
      <c r="I16" s="2"/>
      <c r="J16" s="2"/>
      <c r="K16" s="253">
        <f>[1]!SP1000P100F2900</f>
        <v>0</v>
      </c>
      <c r="L16" s="246">
        <f t="shared" si="0"/>
        <v>0</v>
      </c>
      <c r="M16" s="251" t="str">
        <f t="shared" si="1"/>
        <v xml:space="preserve"> </v>
      </c>
      <c r="N16" s="252">
        <v>8</v>
      </c>
    </row>
    <row r="17" spans="1:14" ht="12" customHeight="1">
      <c r="B17" t="s">
        <v>302</v>
      </c>
      <c r="E17" s="103">
        <v>9</v>
      </c>
      <c r="F17" s="2">
        <v>28934</v>
      </c>
      <c r="G17" s="2">
        <v>5810</v>
      </c>
      <c r="H17" s="2">
        <v>250000</v>
      </c>
      <c r="I17" s="2"/>
      <c r="J17" s="2">
        <v>1800</v>
      </c>
      <c r="K17" s="253">
        <f>[1]!SP1000P100F3000</f>
        <v>363096</v>
      </c>
      <c r="L17" s="246">
        <f t="shared" si="0"/>
        <v>286544</v>
      </c>
      <c r="M17" s="251">
        <f t="shared" si="1"/>
        <v>-0.21099999999999999</v>
      </c>
      <c r="N17" s="252">
        <v>9</v>
      </c>
    </row>
    <row r="18" spans="1:14" ht="12" customHeight="1">
      <c r="B18" t="s">
        <v>303</v>
      </c>
      <c r="E18" s="103">
        <v>10</v>
      </c>
      <c r="F18" s="2"/>
      <c r="G18" s="2"/>
      <c r="H18" s="2"/>
      <c r="I18" s="2"/>
      <c r="J18" s="2"/>
      <c r="K18" s="253">
        <f>[1]!SP1000P100F4000</f>
        <v>0</v>
      </c>
      <c r="L18" s="246">
        <f t="shared" si="0"/>
        <v>0</v>
      </c>
      <c r="M18" s="251" t="str">
        <f t="shared" si="1"/>
        <v xml:space="preserve"> </v>
      </c>
      <c r="N18" s="252">
        <v>10</v>
      </c>
    </row>
    <row r="19" spans="1:14" ht="12" customHeight="1">
      <c r="B19" t="s">
        <v>304</v>
      </c>
      <c r="E19" s="254">
        <v>11</v>
      </c>
      <c r="F19" s="11"/>
      <c r="G19" s="2"/>
      <c r="H19" s="2"/>
      <c r="I19" s="2"/>
      <c r="J19" s="2"/>
      <c r="K19" s="253">
        <f>[1]!SP1000P100F5000</f>
        <v>0</v>
      </c>
      <c r="L19" s="246">
        <f t="shared" si="0"/>
        <v>0</v>
      </c>
      <c r="M19" s="251" t="str">
        <f t="shared" si="1"/>
        <v xml:space="preserve"> </v>
      </c>
      <c r="N19" s="252">
        <v>11</v>
      </c>
    </row>
    <row r="20" spans="1:14" ht="12" customHeight="1">
      <c r="A20" t="s">
        <v>305</v>
      </c>
      <c r="E20" s="254">
        <v>12</v>
      </c>
      <c r="F20" s="11"/>
      <c r="G20" s="2"/>
      <c r="H20" s="2"/>
      <c r="I20" s="2"/>
      <c r="J20" s="2"/>
      <c r="K20" s="246">
        <f>[1]!SP1000P610</f>
        <v>0</v>
      </c>
      <c r="L20" s="246">
        <f t="shared" si="0"/>
        <v>0</v>
      </c>
      <c r="M20" s="251" t="str">
        <f t="shared" si="1"/>
        <v xml:space="preserve"> </v>
      </c>
      <c r="N20" s="252">
        <v>12</v>
      </c>
    </row>
    <row r="21" spans="1:14" ht="12" customHeight="1">
      <c r="A21" t="s">
        <v>306</v>
      </c>
      <c r="E21" s="254">
        <v>13</v>
      </c>
      <c r="F21" s="11"/>
      <c r="G21" s="2"/>
      <c r="H21" s="2"/>
      <c r="I21" s="2"/>
      <c r="J21" s="2"/>
      <c r="K21" s="246">
        <f>[1]!SP1000P620</f>
        <v>4100</v>
      </c>
      <c r="L21" s="246">
        <f>SUM(F21:J21)</f>
        <v>0</v>
      </c>
      <c r="M21" s="251">
        <f t="shared" si="1"/>
        <v>-1</v>
      </c>
      <c r="N21" s="252">
        <v>13</v>
      </c>
    </row>
    <row r="22" spans="1:14" ht="12" customHeight="1">
      <c r="A22" t="s">
        <v>307</v>
      </c>
      <c r="E22" s="254">
        <v>14</v>
      </c>
      <c r="F22" s="11">
        <v>4600</v>
      </c>
      <c r="G22" s="2">
        <v>924</v>
      </c>
      <c r="H22" s="2">
        <v>39500</v>
      </c>
      <c r="I22" s="2">
        <v>1700</v>
      </c>
      <c r="J22" s="2">
        <v>24700</v>
      </c>
      <c r="K22" s="246">
        <f>[1]!SP1000P630700800900</f>
        <v>30647</v>
      </c>
      <c r="L22" s="246">
        <f t="shared" si="0"/>
        <v>71424</v>
      </c>
      <c r="M22" s="251">
        <f t="shared" si="1"/>
        <v>1.331</v>
      </c>
      <c r="N22" s="252">
        <v>14</v>
      </c>
    </row>
    <row r="23" spans="1:14" ht="12" customHeight="1">
      <c r="A23" s="146"/>
      <c r="B23" s="146" t="s">
        <v>57</v>
      </c>
      <c r="C23" s="146"/>
      <c r="D23" s="146"/>
      <c r="E23" s="256">
        <v>15</v>
      </c>
      <c r="F23" s="246">
        <f>SUM(F7:F22)</f>
        <v>1602952</v>
      </c>
      <c r="G23" s="246">
        <f>SUM(G7:G22)</f>
        <v>341467</v>
      </c>
      <c r="H23" s="246">
        <f>SUM(H7:H22)</f>
        <v>1963862</v>
      </c>
      <c r="I23" s="246">
        <f>SUM(I7:I22)</f>
        <v>338960</v>
      </c>
      <c r="J23" s="246">
        <f>SUM(J7:J22)</f>
        <v>154445</v>
      </c>
      <c r="K23" s="257">
        <f>SUM(K8:K22)</f>
        <v>3930218</v>
      </c>
      <c r="L23" s="257">
        <f t="shared" si="0"/>
        <v>4401686</v>
      </c>
      <c r="M23" s="251">
        <f t="shared" si="1"/>
        <v>0.12</v>
      </c>
      <c r="N23" s="252">
        <v>15</v>
      </c>
    </row>
    <row r="24" spans="1:14" ht="12" customHeight="1">
      <c r="A24" t="s">
        <v>308</v>
      </c>
      <c r="E24" s="103"/>
      <c r="F24" s="242"/>
      <c r="G24" s="242"/>
      <c r="H24" s="242"/>
      <c r="I24" s="242"/>
      <c r="J24" s="243"/>
      <c r="K24" s="245"/>
      <c r="L24" s="245"/>
      <c r="M24" s="245"/>
      <c r="N24" s="252"/>
    </row>
    <row r="25" spans="1:14" ht="12" customHeight="1">
      <c r="B25" t="s">
        <v>14</v>
      </c>
      <c r="E25" s="103">
        <v>16</v>
      </c>
      <c r="F25" s="2">
        <v>100193</v>
      </c>
      <c r="G25" s="2">
        <v>20119</v>
      </c>
      <c r="H25" s="2"/>
      <c r="I25" s="2">
        <v>2400</v>
      </c>
      <c r="J25" s="17"/>
      <c r="K25" s="246">
        <f>[1]!SP1000P200F1000</f>
        <v>127990</v>
      </c>
      <c r="L25" s="246">
        <f>SUM(F25:J25)</f>
        <v>122712</v>
      </c>
      <c r="M25" s="258">
        <f>IF(K25=0," ",(L25-K25)/K25)</f>
        <v>-4.1000000000000002E-2</v>
      </c>
      <c r="N25" s="252">
        <v>16</v>
      </c>
    </row>
    <row r="26" spans="1:14" ht="12" customHeight="1">
      <c r="B26" t="s">
        <v>296</v>
      </c>
      <c r="E26" s="103"/>
      <c r="F26" s="242"/>
      <c r="G26" s="242"/>
      <c r="H26" s="242"/>
      <c r="I26" s="242"/>
      <c r="J26" s="243"/>
      <c r="K26" s="245"/>
      <c r="L26" s="245"/>
      <c r="M26" s="245"/>
      <c r="N26" s="252"/>
    </row>
    <row r="27" spans="1:14" ht="12" customHeight="1">
      <c r="B27" t="s">
        <v>50</v>
      </c>
      <c r="E27" s="254">
        <v>17</v>
      </c>
      <c r="F27" s="2">
        <v>6760</v>
      </c>
      <c r="G27" s="2">
        <v>1357</v>
      </c>
      <c r="H27" s="2">
        <v>204000</v>
      </c>
      <c r="I27" s="2">
        <v>14124</v>
      </c>
      <c r="J27" s="17"/>
      <c r="K27" s="246">
        <f>[1]!SP1000P200F2100</f>
        <v>218552</v>
      </c>
      <c r="L27" s="246">
        <f>SUM(F27:J27)</f>
        <v>226241</v>
      </c>
      <c r="M27" s="258">
        <f>IF(K27=0," ",(L27-K27)/K27)</f>
        <v>3.5000000000000003E-2</v>
      </c>
      <c r="N27" s="252">
        <v>17</v>
      </c>
    </row>
    <row r="28" spans="1:14" ht="12" customHeight="1">
      <c r="B28" t="s">
        <v>60</v>
      </c>
      <c r="E28" s="254">
        <v>18</v>
      </c>
      <c r="F28" s="2"/>
      <c r="G28" s="2"/>
      <c r="H28" s="2">
        <v>33883</v>
      </c>
      <c r="I28" s="2">
        <v>600</v>
      </c>
      <c r="J28" s="2"/>
      <c r="K28" s="246">
        <f>[1]!SP1000P200F2200</f>
        <v>36894</v>
      </c>
      <c r="L28" s="246">
        <f t="shared" ref="L28:L42" si="2">SUM(F28:J28)</f>
        <v>34483</v>
      </c>
      <c r="M28" s="259">
        <f t="shared" ref="M28:M48" si="3">IF(K28=0," ",(L28-K28)/K28)</f>
        <v>-6.5000000000000002E-2</v>
      </c>
      <c r="N28" s="252">
        <v>18</v>
      </c>
    </row>
    <row r="29" spans="1:14" ht="12" customHeight="1">
      <c r="B29" t="s">
        <v>297</v>
      </c>
      <c r="E29" s="254">
        <v>19</v>
      </c>
      <c r="F29" s="2"/>
      <c r="G29" s="2"/>
      <c r="H29" s="2"/>
      <c r="I29" s="2"/>
      <c r="J29" s="2"/>
      <c r="K29" s="253">
        <f>[1]!SP1000P200F2300</f>
        <v>0</v>
      </c>
      <c r="L29" s="246">
        <f t="shared" si="2"/>
        <v>0</v>
      </c>
      <c r="M29" s="251" t="str">
        <f t="shared" si="3"/>
        <v xml:space="preserve"> </v>
      </c>
      <c r="N29" s="252">
        <v>19</v>
      </c>
    </row>
    <row r="30" spans="1:14" ht="12" customHeight="1">
      <c r="B30" t="s">
        <v>298</v>
      </c>
      <c r="E30" s="254">
        <v>20</v>
      </c>
      <c r="F30" s="2"/>
      <c r="G30" s="2"/>
      <c r="H30" s="2"/>
      <c r="I30" s="2"/>
      <c r="J30" s="2"/>
      <c r="K30" s="253">
        <f>[1]!SP1000P200F2400</f>
        <v>0</v>
      </c>
      <c r="L30" s="246">
        <f t="shared" si="2"/>
        <v>0</v>
      </c>
      <c r="M30" s="251" t="str">
        <f t="shared" si="3"/>
        <v xml:space="preserve"> </v>
      </c>
      <c r="N30" s="252">
        <v>20</v>
      </c>
    </row>
    <row r="31" spans="1:14" ht="12" customHeight="1">
      <c r="B31" t="s">
        <v>299</v>
      </c>
      <c r="E31" s="254">
        <v>21</v>
      </c>
      <c r="F31" s="2"/>
      <c r="G31" s="2"/>
      <c r="H31" s="2"/>
      <c r="I31" s="2"/>
      <c r="J31" s="2"/>
      <c r="K31" s="253">
        <f>[1]!SP1000P200F2500</f>
        <v>0</v>
      </c>
      <c r="L31" s="246">
        <f>SUM(F31:J31)</f>
        <v>0</v>
      </c>
      <c r="M31" s="251" t="str">
        <f t="shared" si="3"/>
        <v xml:space="preserve"> </v>
      </c>
      <c r="N31" s="252">
        <v>21</v>
      </c>
    </row>
    <row r="32" spans="1:14" ht="12" customHeight="1">
      <c r="B32" t="s">
        <v>300</v>
      </c>
      <c r="E32" s="254">
        <v>22</v>
      </c>
      <c r="F32" s="2"/>
      <c r="G32" s="2"/>
      <c r="H32" s="2"/>
      <c r="I32" s="2"/>
      <c r="J32" s="2"/>
      <c r="K32" s="253">
        <f>[1]!SP1000P200F2600</f>
        <v>0</v>
      </c>
      <c r="L32" s="246">
        <f t="shared" si="2"/>
        <v>0</v>
      </c>
      <c r="M32" s="251" t="str">
        <f t="shared" si="3"/>
        <v xml:space="preserve"> </v>
      </c>
      <c r="N32" s="252">
        <v>22</v>
      </c>
    </row>
    <row r="33" spans="1:18" ht="12" customHeight="1">
      <c r="B33" t="s">
        <v>301</v>
      </c>
      <c r="E33" s="254">
        <v>23</v>
      </c>
      <c r="F33" s="2"/>
      <c r="G33" s="2"/>
      <c r="H33" s="2"/>
      <c r="I33" s="2"/>
      <c r="J33" s="2"/>
      <c r="K33" s="253">
        <f>[1]!SP1000P200F2900</f>
        <v>0</v>
      </c>
      <c r="L33" s="246">
        <f t="shared" si="2"/>
        <v>0</v>
      </c>
      <c r="M33" s="251" t="str">
        <f t="shared" si="3"/>
        <v xml:space="preserve"> </v>
      </c>
      <c r="N33" s="252">
        <v>23</v>
      </c>
    </row>
    <row r="34" spans="1:18" ht="12" customHeight="1">
      <c r="B34" t="s">
        <v>302</v>
      </c>
      <c r="E34" s="254">
        <v>24</v>
      </c>
      <c r="F34" s="2"/>
      <c r="G34" s="2"/>
      <c r="H34" s="2"/>
      <c r="I34" s="2"/>
      <c r="J34" s="2"/>
      <c r="K34" s="253">
        <f>[1]!SP1000P200F3000</f>
        <v>0</v>
      </c>
      <c r="L34" s="246">
        <f t="shared" si="2"/>
        <v>0</v>
      </c>
      <c r="M34" s="251" t="str">
        <f t="shared" si="3"/>
        <v xml:space="preserve"> </v>
      </c>
      <c r="N34" s="252">
        <v>24</v>
      </c>
      <c r="R34" s="233"/>
    </row>
    <row r="35" spans="1:18" ht="12" customHeight="1">
      <c r="B35" t="s">
        <v>303</v>
      </c>
      <c r="E35" s="254">
        <v>25</v>
      </c>
      <c r="F35" s="2"/>
      <c r="G35" s="2"/>
      <c r="H35" s="2"/>
      <c r="I35" s="2"/>
      <c r="J35" s="2"/>
      <c r="K35" s="253">
        <f>[1]!SP1000P200F4000</f>
        <v>0</v>
      </c>
      <c r="L35" s="246">
        <f t="shared" si="2"/>
        <v>0</v>
      </c>
      <c r="M35" s="251" t="str">
        <f t="shared" si="3"/>
        <v xml:space="preserve"> </v>
      </c>
      <c r="N35" s="252">
        <v>25</v>
      </c>
    </row>
    <row r="36" spans="1:18" ht="12" customHeight="1">
      <c r="B36" t="s">
        <v>304</v>
      </c>
      <c r="E36" s="103">
        <v>26</v>
      </c>
      <c r="F36" s="2"/>
      <c r="G36" s="2"/>
      <c r="H36" s="2"/>
      <c r="I36" s="2"/>
      <c r="J36" s="2"/>
      <c r="K36" s="253">
        <f>[1]!SP1000P200F5000</f>
        <v>0</v>
      </c>
      <c r="L36" s="246">
        <f t="shared" si="2"/>
        <v>0</v>
      </c>
      <c r="M36" s="251" t="str">
        <f t="shared" si="3"/>
        <v xml:space="preserve"> </v>
      </c>
      <c r="N36" s="252">
        <v>26</v>
      </c>
    </row>
    <row r="37" spans="1:18" ht="12" customHeight="1">
      <c r="A37" s="146"/>
      <c r="B37" s="146" t="s">
        <v>43</v>
      </c>
      <c r="C37" s="146"/>
      <c r="D37" s="146"/>
      <c r="E37" s="256">
        <v>27</v>
      </c>
      <c r="F37" s="253">
        <f>SUM(F24:F36)</f>
        <v>106953</v>
      </c>
      <c r="G37" s="253">
        <f>SUM(G24:G36)</f>
        <v>21476</v>
      </c>
      <c r="H37" s="253">
        <f>SUM(H24:H36)</f>
        <v>237883</v>
      </c>
      <c r="I37" s="253">
        <f>SUM(I24:I36)</f>
        <v>17124</v>
      </c>
      <c r="J37" s="253">
        <f>SUM(J24:J36)</f>
        <v>0</v>
      </c>
      <c r="K37" s="253">
        <f>SUM(K25:K36)</f>
        <v>383436</v>
      </c>
      <c r="L37" s="253">
        <f t="shared" si="2"/>
        <v>383436</v>
      </c>
      <c r="M37" s="259">
        <f t="shared" si="3"/>
        <v>0</v>
      </c>
      <c r="N37" s="252">
        <v>27</v>
      </c>
    </row>
    <row r="38" spans="1:18" ht="0.75" customHeight="1">
      <c r="A38" t="s">
        <v>61</v>
      </c>
      <c r="E38" s="103">
        <v>28</v>
      </c>
      <c r="F38" s="260"/>
      <c r="G38" s="260"/>
      <c r="H38" s="260"/>
      <c r="I38" s="260"/>
      <c r="J38" s="260"/>
      <c r="K38" s="260"/>
      <c r="L38" s="260"/>
      <c r="M38" s="261"/>
      <c r="N38" s="250">
        <v>28</v>
      </c>
    </row>
    <row r="39" spans="1:18" ht="12" customHeight="1">
      <c r="A39" s="146" t="s">
        <v>309</v>
      </c>
      <c r="B39" s="146"/>
      <c r="C39" s="146"/>
      <c r="D39" s="146"/>
      <c r="E39" s="256">
        <v>28</v>
      </c>
      <c r="F39" s="2"/>
      <c r="G39" s="2"/>
      <c r="H39" s="2"/>
      <c r="I39" s="2">
        <v>4500</v>
      </c>
      <c r="J39" s="2">
        <v>4000</v>
      </c>
      <c r="K39" s="246">
        <f>[1]!SP1000P400</f>
        <v>10000</v>
      </c>
      <c r="L39" s="246">
        <f t="shared" si="2"/>
        <v>8500</v>
      </c>
      <c r="M39" s="251">
        <f t="shared" si="3"/>
        <v>-0.15</v>
      </c>
      <c r="N39" s="252">
        <v>28</v>
      </c>
    </row>
    <row r="40" spans="1:18" ht="12" customHeight="1">
      <c r="A40" s="146" t="s">
        <v>310</v>
      </c>
      <c r="B40" s="146"/>
      <c r="C40" s="146"/>
      <c r="D40" s="146"/>
      <c r="E40" s="262">
        <v>29</v>
      </c>
      <c r="F40" s="2"/>
      <c r="G40" s="2"/>
      <c r="H40" s="2"/>
      <c r="I40" s="2"/>
      <c r="J40" s="2"/>
      <c r="K40" s="253">
        <f>[1]!SP1000P530</f>
        <v>0</v>
      </c>
      <c r="L40" s="246">
        <f>SUM(F40:J40)</f>
        <v>0</v>
      </c>
      <c r="M40" s="251" t="str">
        <f t="shared" si="3"/>
        <v xml:space="preserve"> </v>
      </c>
      <c r="N40" s="252">
        <v>29</v>
      </c>
    </row>
    <row r="41" spans="1:18" ht="12" customHeight="1">
      <c r="A41" s="146" t="s">
        <v>311</v>
      </c>
      <c r="B41" s="146"/>
      <c r="C41" s="146"/>
      <c r="D41" s="146"/>
      <c r="E41" s="262">
        <v>30</v>
      </c>
      <c r="F41" s="2"/>
      <c r="G41" s="2"/>
      <c r="H41" s="2"/>
      <c r="I41" s="2"/>
      <c r="J41" s="2"/>
      <c r="K41" s="253">
        <f>[1]!SP1000P540</f>
        <v>0</v>
      </c>
      <c r="L41" s="246">
        <f t="shared" si="2"/>
        <v>0</v>
      </c>
      <c r="M41" s="251" t="str">
        <f t="shared" si="3"/>
        <v xml:space="preserve"> </v>
      </c>
      <c r="N41" s="252">
        <v>30</v>
      </c>
    </row>
    <row r="42" spans="1:18" ht="12" customHeight="1">
      <c r="A42" s="263" t="s">
        <v>83</v>
      </c>
      <c r="B42" s="264"/>
      <c r="C42" s="264"/>
      <c r="D42" s="264"/>
      <c r="E42" s="262">
        <v>31</v>
      </c>
      <c r="F42" s="2">
        <v>41226</v>
      </c>
      <c r="G42" s="2">
        <v>8278</v>
      </c>
      <c r="H42" s="2"/>
      <c r="I42" s="2"/>
      <c r="J42" s="2"/>
      <c r="K42" s="253">
        <f>[1]!SP1000P550</f>
        <v>51884</v>
      </c>
      <c r="L42" s="246">
        <f t="shared" si="2"/>
        <v>49504</v>
      </c>
      <c r="M42" s="251">
        <f t="shared" si="3"/>
        <v>-4.5999999999999999E-2</v>
      </c>
      <c r="N42" s="252">
        <v>31</v>
      </c>
    </row>
    <row r="43" spans="1:18" ht="12" customHeight="1">
      <c r="A43" s="146"/>
      <c r="B43" s="146" t="s">
        <v>100</v>
      </c>
      <c r="C43" s="146"/>
      <c r="D43" s="146"/>
      <c r="E43" s="262">
        <v>32</v>
      </c>
      <c r="F43" s="246">
        <f t="shared" ref="F43:K43" si="4">SUM(F37:F42)+F23</f>
        <v>1751131</v>
      </c>
      <c r="G43" s="246">
        <f t="shared" si="4"/>
        <v>371221</v>
      </c>
      <c r="H43" s="246">
        <f t="shared" si="4"/>
        <v>2201745</v>
      </c>
      <c r="I43" s="246">
        <f t="shared" si="4"/>
        <v>360584</v>
      </c>
      <c r="J43" s="246">
        <f t="shared" si="4"/>
        <v>158445</v>
      </c>
      <c r="K43" s="246">
        <f t="shared" si="4"/>
        <v>4375538</v>
      </c>
      <c r="L43" s="246">
        <f>SUM(F43:J43)</f>
        <v>4843126</v>
      </c>
      <c r="M43" s="251">
        <f t="shared" si="3"/>
        <v>0.107</v>
      </c>
      <c r="N43" s="252">
        <v>32</v>
      </c>
    </row>
    <row r="44" spans="1:18" ht="12" customHeight="1">
      <c r="A44" s="146" t="s">
        <v>400</v>
      </c>
      <c r="B44" s="146"/>
      <c r="C44" s="146"/>
      <c r="D44" s="146"/>
      <c r="E44" s="262">
        <v>33</v>
      </c>
      <c r="F44" s="246">
        <f>TotalCSP6100</f>
        <v>210459</v>
      </c>
      <c r="G44" s="246">
        <f>TotalCSP6200</f>
        <v>44800</v>
      </c>
      <c r="H44" s="246">
        <f>TotalCSP630064006500</f>
        <v>0</v>
      </c>
      <c r="I44" s="246">
        <f>TotalCSP6600</f>
        <v>0</v>
      </c>
      <c r="J44" s="265"/>
      <c r="K44" s="246">
        <f>[1]!SP1000ClassSiteProj</f>
        <v>308089</v>
      </c>
      <c r="L44" s="246">
        <f>SUM(F44:J44)</f>
        <v>255259</v>
      </c>
      <c r="M44" s="251">
        <f t="shared" si="3"/>
        <v>-0.17100000000000001</v>
      </c>
      <c r="N44" s="252">
        <v>33</v>
      </c>
    </row>
    <row r="45" spans="1:18" ht="12" customHeight="1">
      <c r="A45" s="146" t="s">
        <v>388</v>
      </c>
      <c r="B45" s="146"/>
      <c r="C45" s="146"/>
      <c r="D45" s="146"/>
      <c r="E45" s="262">
        <v>34</v>
      </c>
      <c r="F45" s="265"/>
      <c r="G45" s="265"/>
      <c r="H45" s="265"/>
      <c r="I45" s="265"/>
      <c r="J45" s="265"/>
      <c r="K45" s="246">
        <f>[1]!SP1000InstrImpProj</f>
        <v>19079</v>
      </c>
      <c r="L45" s="246">
        <f>TotalInstructionalImprovement</f>
        <v>40286</v>
      </c>
      <c r="M45" s="251">
        <f t="shared" si="3"/>
        <v>1.1120000000000001</v>
      </c>
      <c r="N45" s="252">
        <v>34</v>
      </c>
    </row>
    <row r="46" spans="1:18" ht="12" customHeight="1">
      <c r="A46" s="146" t="s">
        <v>389</v>
      </c>
      <c r="B46" s="146"/>
      <c r="C46" s="146"/>
      <c r="D46" s="146"/>
      <c r="E46" s="262">
        <v>35</v>
      </c>
      <c r="F46" s="246">
        <f>TotalSEIP6100</f>
        <v>0</v>
      </c>
      <c r="G46" s="246">
        <f>TotalSEIP6200</f>
        <v>0</v>
      </c>
      <c r="H46" s="246">
        <f>TotalSEIP630064006500</f>
        <v>0</v>
      </c>
      <c r="I46" s="246">
        <f>TotalSEIP6600</f>
        <v>0</v>
      </c>
      <c r="J46" s="246">
        <f>TotalSEIP6800</f>
        <v>0</v>
      </c>
      <c r="K46" s="246">
        <f>[1]!SP1000StruEngImmProj</f>
        <v>0</v>
      </c>
      <c r="L46" s="246">
        <f>TotalSEIP</f>
        <v>0</v>
      </c>
      <c r="M46" s="251" t="str">
        <f t="shared" si="3"/>
        <v xml:space="preserve"> </v>
      </c>
      <c r="N46" s="252">
        <v>35</v>
      </c>
    </row>
    <row r="47" spans="1:18" ht="12" customHeight="1">
      <c r="A47" s="146" t="s">
        <v>390</v>
      </c>
      <c r="B47" s="146"/>
      <c r="C47" s="146"/>
      <c r="D47" s="146"/>
      <c r="E47" s="262">
        <v>36</v>
      </c>
      <c r="F47" s="246">
        <f>TotalCIP6100</f>
        <v>0</v>
      </c>
      <c r="G47" s="246">
        <f>TotalCIP6200</f>
        <v>0</v>
      </c>
      <c r="H47" s="246">
        <f>TotalCIP630064006500</f>
        <v>0</v>
      </c>
      <c r="I47" s="246">
        <f>TotalCIP6600</f>
        <v>0</v>
      </c>
      <c r="J47" s="246">
        <f>TotalCIP6800</f>
        <v>0</v>
      </c>
      <c r="K47" s="253">
        <f>[1]!SP1000CompInstrProj</f>
        <v>0</v>
      </c>
      <c r="L47" s="246">
        <f>TotalCIP</f>
        <v>0</v>
      </c>
      <c r="M47" s="251" t="str">
        <f t="shared" si="3"/>
        <v xml:space="preserve"> </v>
      </c>
      <c r="N47" s="252">
        <v>36</v>
      </c>
    </row>
    <row r="48" spans="1:18" ht="12" customHeight="1">
      <c r="A48" s="263" t="s">
        <v>483</v>
      </c>
      <c r="B48" s="264"/>
      <c r="C48" s="264"/>
      <c r="D48" s="264"/>
      <c r="E48" s="262">
        <v>37</v>
      </c>
      <c r="F48" s="265"/>
      <c r="G48" s="265"/>
      <c r="H48" s="265"/>
      <c r="I48" s="265"/>
      <c r="J48" s="265"/>
      <c r="K48" s="253">
        <f>[1]!SP1000FedStProj</f>
        <v>1855578</v>
      </c>
      <c r="L48" s="246">
        <f>FederalandStateProjectsTotal</f>
        <v>723687</v>
      </c>
      <c r="M48" s="251">
        <f t="shared" si="3"/>
        <v>-0.61</v>
      </c>
      <c r="N48" s="252">
        <v>37</v>
      </c>
    </row>
    <row r="49" spans="1:14" ht="12" customHeight="1">
      <c r="A49" s="266"/>
      <c r="B49" s="146" t="s">
        <v>101</v>
      </c>
      <c r="C49" s="146"/>
      <c r="D49" s="146"/>
      <c r="E49" s="262">
        <v>38</v>
      </c>
      <c r="F49" s="267">
        <f>SUM(F43+F44+F46+F47)</f>
        <v>1961590</v>
      </c>
      <c r="G49" s="267">
        <f>SUM(G43+G44+G46+G47)</f>
        <v>416021</v>
      </c>
      <c r="H49" s="267">
        <f>SUM(H43+H44+H46+H47)</f>
        <v>2201745</v>
      </c>
      <c r="I49" s="267">
        <f>SUM(I43+I44+I46+I47)</f>
        <v>360584</v>
      </c>
      <c r="J49" s="267">
        <f>SUM(J43+J46+J47)</f>
        <v>158445</v>
      </c>
      <c r="K49" s="268">
        <f>SUM(K43:K48)</f>
        <v>6558284</v>
      </c>
      <c r="L49" s="268">
        <f>SUM(L43:L48)</f>
        <v>5862358</v>
      </c>
      <c r="M49" s="251">
        <f>IF(K49=0," ",(L49-K49)/K49)</f>
        <v>-0.106</v>
      </c>
      <c r="N49" s="25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5"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abSelected="1" workbookViewId="0">
      <selection activeCell="E44" sqref="E44"/>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182</v>
      </c>
      <c r="C1" s="491" t="str">
        <f>CharterName</f>
        <v>Tucson International Academy</v>
      </c>
      <c r="D1" s="491"/>
      <c r="E1" s="491"/>
      <c r="F1" s="491"/>
      <c r="H1" s="34" t="s">
        <v>128</v>
      </c>
      <c r="I1" s="492" t="str">
        <f>Cover!M1</f>
        <v>Pima</v>
      </c>
      <c r="J1" s="486"/>
      <c r="K1" s="486"/>
      <c r="M1" s="34" t="s">
        <v>221</v>
      </c>
      <c r="N1" s="37" t="str">
        <f>CTD</f>
        <v>108714000</v>
      </c>
    </row>
    <row r="2" spans="1:19" ht="7.5" customHeight="1">
      <c r="A2" s="269"/>
      <c r="B2" s="145"/>
      <c r="C2" s="145"/>
      <c r="D2" s="145"/>
      <c r="E2" s="145"/>
      <c r="H2" s="270"/>
      <c r="I2" s="271"/>
      <c r="J2" s="271"/>
      <c r="K2" s="271"/>
      <c r="L2" s="271"/>
      <c r="M2" s="271"/>
      <c r="N2" s="271"/>
    </row>
    <row r="3" spans="1:19" ht="12" customHeight="1">
      <c r="A3" s="497" t="s">
        <v>187</v>
      </c>
      <c r="B3" s="498"/>
      <c r="C3" s="498"/>
      <c r="D3" s="272"/>
      <c r="E3" s="272"/>
      <c r="H3" s="272" t="s">
        <v>188</v>
      </c>
      <c r="I3" s="273"/>
      <c r="J3" s="273"/>
      <c r="K3" s="273"/>
      <c r="L3" s="273"/>
      <c r="M3" s="273"/>
      <c r="N3" s="273"/>
      <c r="Q3" s="494"/>
      <c r="R3" s="494"/>
    </row>
    <row r="4" spans="1:19" ht="40.5" customHeight="1">
      <c r="A4" s="102" t="s">
        <v>213</v>
      </c>
      <c r="D4" s="274" t="s">
        <v>484</v>
      </c>
      <c r="E4" s="274" t="s">
        <v>485</v>
      </c>
      <c r="H4" s="145"/>
      <c r="I4" s="145"/>
      <c r="J4" s="145"/>
      <c r="K4" s="145"/>
      <c r="M4" s="274" t="s">
        <v>487</v>
      </c>
      <c r="N4" s="274" t="s">
        <v>486</v>
      </c>
      <c r="Q4" s="494"/>
      <c r="R4" s="494"/>
    </row>
    <row r="5" spans="1:19" ht="12" customHeight="1">
      <c r="A5" s="275">
        <v>1</v>
      </c>
      <c r="B5" s="130" t="s">
        <v>66</v>
      </c>
      <c r="C5" s="130"/>
      <c r="D5" s="276">
        <f>[1]!FP11001130TitleI</f>
        <v>325200</v>
      </c>
      <c r="E5" s="14">
        <v>308642</v>
      </c>
      <c r="F5" s="250">
        <v>1</v>
      </c>
      <c r="G5" s="277">
        <v>1</v>
      </c>
      <c r="H5" s="278" t="s">
        <v>234</v>
      </c>
      <c r="I5" s="278"/>
      <c r="J5" s="279"/>
      <c r="K5" s="130"/>
      <c r="M5" s="280">
        <f>'[1]Page 2'!$N$5</f>
        <v>383436</v>
      </c>
      <c r="N5" s="15">
        <f>'Page 1'!L37</f>
        <v>383436</v>
      </c>
      <c r="O5" s="250">
        <v>1</v>
      </c>
      <c r="R5" s="260"/>
      <c r="S5" s="260"/>
    </row>
    <row r="6" spans="1:19" ht="12" customHeight="1">
      <c r="A6" s="275">
        <v>2</v>
      </c>
      <c r="B6" s="130" t="s">
        <v>67</v>
      </c>
      <c r="C6" s="130"/>
      <c r="D6" s="276">
        <f>[1]!FP11401150TitleII</f>
        <v>37518</v>
      </c>
      <c r="E6" s="14">
        <v>24307</v>
      </c>
      <c r="F6" s="250">
        <v>2</v>
      </c>
      <c r="G6" s="277">
        <v>2</v>
      </c>
      <c r="H6" s="130" t="s">
        <v>231</v>
      </c>
      <c r="I6" s="130"/>
      <c r="J6" s="130"/>
      <c r="K6" s="130"/>
      <c r="M6" s="280">
        <f>[1]!P200GiftedEducation</f>
        <v>0</v>
      </c>
      <c r="N6" s="15">
        <v>0</v>
      </c>
      <c r="O6" s="250">
        <v>2</v>
      </c>
      <c r="R6" s="260"/>
      <c r="S6" s="260"/>
    </row>
    <row r="7" spans="1:19" ht="12" customHeight="1">
      <c r="A7" s="275">
        <v>3</v>
      </c>
      <c r="B7" s="130" t="s">
        <v>68</v>
      </c>
      <c r="C7" s="130"/>
      <c r="D7" s="276">
        <f>[1]!FP1160TitleIV</f>
        <v>30200</v>
      </c>
      <c r="E7" s="14">
        <v>20297</v>
      </c>
      <c r="F7" s="250">
        <v>3</v>
      </c>
      <c r="G7" s="277">
        <v>3</v>
      </c>
      <c r="H7" s="130" t="s">
        <v>313</v>
      </c>
      <c r="I7" s="130"/>
      <c r="J7" s="130"/>
      <c r="K7" s="130"/>
      <c r="M7" s="276">
        <f>[1]!P200ELLIncrementalCosts</f>
        <v>0</v>
      </c>
      <c r="N7" s="14">
        <v>0</v>
      </c>
      <c r="O7" s="250">
        <v>3</v>
      </c>
      <c r="R7" s="260"/>
      <c r="S7" s="260"/>
    </row>
    <row r="8" spans="1:19" ht="12" customHeight="1">
      <c r="A8" s="275">
        <v>4</v>
      </c>
      <c r="B8" s="130" t="s">
        <v>69</v>
      </c>
      <c r="C8" s="130"/>
      <c r="D8" s="276">
        <f>[1]!FP11701180TitleV</f>
        <v>0</v>
      </c>
      <c r="E8" s="14">
        <v>0</v>
      </c>
      <c r="F8" s="250">
        <v>4</v>
      </c>
      <c r="G8" s="277">
        <v>4</v>
      </c>
      <c r="H8" s="130" t="s">
        <v>314</v>
      </c>
      <c r="I8" s="130"/>
      <c r="J8" s="130"/>
      <c r="K8" s="130"/>
      <c r="M8" s="276">
        <f>[1]!P200ELLCompensatoryInstruction</f>
        <v>0</v>
      </c>
      <c r="N8" s="14">
        <v>0</v>
      </c>
      <c r="O8" s="250">
        <v>4</v>
      </c>
      <c r="R8" s="260"/>
      <c r="S8" s="260"/>
    </row>
    <row r="9" spans="1:19" ht="12" customHeight="1">
      <c r="A9" s="275">
        <v>5</v>
      </c>
      <c r="B9" s="130" t="s">
        <v>70</v>
      </c>
      <c r="C9" s="130"/>
      <c r="D9" s="276">
        <f>[1]!FP1190TitleIII</f>
        <v>25215</v>
      </c>
      <c r="E9" s="14">
        <v>9636</v>
      </c>
      <c r="F9" s="250">
        <v>5</v>
      </c>
      <c r="G9" s="277">
        <v>5</v>
      </c>
      <c r="H9" s="130" t="s">
        <v>232</v>
      </c>
      <c r="I9" s="130"/>
      <c r="J9" s="130"/>
      <c r="K9" s="130"/>
      <c r="M9" s="276">
        <f>[1]!P200RemedialEducation</f>
        <v>0</v>
      </c>
      <c r="N9" s="14">
        <v>0</v>
      </c>
      <c r="O9" s="250">
        <v>5</v>
      </c>
      <c r="R9" s="260"/>
      <c r="S9" s="260"/>
    </row>
    <row r="10" spans="1:19" ht="12" customHeight="1">
      <c r="A10" s="275">
        <v>6</v>
      </c>
      <c r="B10" s="130" t="s">
        <v>71</v>
      </c>
      <c r="C10" s="130"/>
      <c r="D10" s="276">
        <f>[1]!FP1200TitleVII</f>
        <v>0</v>
      </c>
      <c r="E10" s="14">
        <v>0</v>
      </c>
      <c r="F10" s="250">
        <v>6</v>
      </c>
      <c r="G10" s="277">
        <v>6</v>
      </c>
      <c r="H10" s="130" t="s">
        <v>315</v>
      </c>
      <c r="I10" s="130"/>
      <c r="J10" s="130"/>
      <c r="K10" s="130"/>
      <c r="M10" s="276">
        <f>[1]!P200VocationalandTechnologicalEd</f>
        <v>0</v>
      </c>
      <c r="N10" s="14">
        <v>0</v>
      </c>
      <c r="O10" s="250">
        <v>6</v>
      </c>
      <c r="R10" s="260"/>
      <c r="S10" s="260"/>
    </row>
    <row r="11" spans="1:19" ht="12" customHeight="1">
      <c r="A11" s="275">
        <v>7</v>
      </c>
      <c r="B11" s="130" t="s">
        <v>72</v>
      </c>
      <c r="C11" s="130"/>
      <c r="D11" s="276">
        <f>[1]!FP1210TitleVI</f>
        <v>0</v>
      </c>
      <c r="E11" s="14">
        <v>0</v>
      </c>
      <c r="F11" s="250">
        <v>7</v>
      </c>
      <c r="G11" s="277">
        <v>7</v>
      </c>
      <c r="H11" s="130" t="s">
        <v>233</v>
      </c>
      <c r="I11" s="130"/>
      <c r="J11" s="130"/>
      <c r="K11" s="130"/>
      <c r="M11" s="276">
        <f>[1]!P200CareerEducation</f>
        <v>0</v>
      </c>
      <c r="N11" s="14">
        <v>0</v>
      </c>
      <c r="O11" s="250">
        <v>7</v>
      </c>
      <c r="R11" s="260"/>
      <c r="S11" s="260"/>
    </row>
    <row r="12" spans="1:19" ht="12" customHeight="1">
      <c r="A12" s="275">
        <v>8</v>
      </c>
      <c r="B12" s="130" t="s">
        <v>20</v>
      </c>
      <c r="C12" s="130"/>
      <c r="D12" s="276">
        <f>[1]!FP1220IDEA</f>
        <v>78378</v>
      </c>
      <c r="E12" s="14">
        <f>58728+805</f>
        <v>59533</v>
      </c>
      <c r="F12" s="250">
        <v>8</v>
      </c>
      <c r="G12" s="277">
        <v>8</v>
      </c>
      <c r="H12" t="s">
        <v>98</v>
      </c>
      <c r="K12" s="130"/>
      <c r="M12" s="280">
        <f>SUM(M5:M11)</f>
        <v>383436</v>
      </c>
      <c r="N12" s="280">
        <f>SUM(N5:N11)</f>
        <v>383436</v>
      </c>
      <c r="O12" s="250">
        <v>8</v>
      </c>
      <c r="P12" s="155" t="str">
        <f>IF(SUM(N5:N11)=SUM('Page 1'!L37),"","Invalid. The amount must equal the total budgeted amount reported on page 1, line 27.")</f>
        <v/>
      </c>
      <c r="R12" s="260"/>
      <c r="S12" s="260"/>
    </row>
    <row r="13" spans="1:19" ht="12" customHeight="1">
      <c r="A13" s="275">
        <v>9</v>
      </c>
      <c r="B13" s="130" t="s">
        <v>21</v>
      </c>
      <c r="C13" s="130"/>
      <c r="D13" s="276">
        <f>[1]!FP1230Johnson</f>
        <v>0</v>
      </c>
      <c r="E13" s="14">
        <v>0</v>
      </c>
      <c r="F13" s="250">
        <v>9</v>
      </c>
      <c r="N13" s="260"/>
      <c r="O13" s="250"/>
      <c r="R13" s="260"/>
      <c r="S13" s="260"/>
    </row>
    <row r="14" spans="1:19" ht="12.75" customHeight="1">
      <c r="A14" s="275">
        <v>10</v>
      </c>
      <c r="B14" s="130" t="s">
        <v>51</v>
      </c>
      <c r="C14" s="130"/>
      <c r="D14" s="276">
        <f>[1]!FP1240WIA</f>
        <v>0</v>
      </c>
      <c r="E14" s="14">
        <v>0</v>
      </c>
      <c r="F14" s="250">
        <v>10</v>
      </c>
      <c r="G14" s="277">
        <v>9</v>
      </c>
      <c r="H14" s="500" t="s">
        <v>365</v>
      </c>
      <c r="I14" s="500"/>
      <c r="J14" s="500"/>
      <c r="K14" s="500"/>
      <c r="L14" s="500"/>
      <c r="M14" s="280">
        <f t="array" ref="M14">[1]!IEPtransportation</f>
        <v>0</v>
      </c>
      <c r="N14" s="15"/>
      <c r="O14" s="250">
        <v>9</v>
      </c>
      <c r="R14" s="260"/>
      <c r="S14" s="260"/>
    </row>
    <row r="15" spans="1:19" ht="12.75" customHeight="1">
      <c r="A15" s="275">
        <v>11</v>
      </c>
      <c r="B15" s="130" t="s">
        <v>73</v>
      </c>
      <c r="C15" s="130"/>
      <c r="D15" s="276">
        <f>[1]!FP1250AEA</f>
        <v>0</v>
      </c>
      <c r="E15" s="14">
        <v>0</v>
      </c>
      <c r="F15" s="250">
        <v>11</v>
      </c>
      <c r="H15" s="500"/>
      <c r="I15" s="500"/>
      <c r="J15" s="500"/>
      <c r="K15" s="500"/>
      <c r="L15" s="500"/>
      <c r="N15" s="260"/>
      <c r="O15" s="250"/>
      <c r="R15" s="260"/>
      <c r="S15" s="260"/>
    </row>
    <row r="16" spans="1:19" ht="12" customHeight="1">
      <c r="A16" s="275">
        <v>12</v>
      </c>
      <c r="B16" s="130" t="s">
        <v>74</v>
      </c>
      <c r="C16" s="130"/>
      <c r="D16" s="276">
        <f>[1]!FP12601270VocEd</f>
        <v>0</v>
      </c>
      <c r="E16" s="14">
        <v>0</v>
      </c>
      <c r="F16" s="250">
        <v>12</v>
      </c>
      <c r="G16" s="277"/>
      <c r="H16" s="130"/>
      <c r="I16" s="130"/>
      <c r="J16" s="130"/>
      <c r="K16" s="130"/>
      <c r="M16" s="281"/>
      <c r="N16" s="281"/>
      <c r="O16" s="250"/>
      <c r="R16" s="260"/>
      <c r="S16" s="260"/>
    </row>
    <row r="17" spans="1:19" ht="12" customHeight="1">
      <c r="A17" s="275">
        <v>13</v>
      </c>
      <c r="B17" s="130" t="s">
        <v>75</v>
      </c>
      <c r="C17" s="130"/>
      <c r="D17" s="276">
        <f>[1]!FP1280TitleX</f>
        <v>0</v>
      </c>
      <c r="E17" s="14">
        <v>0</v>
      </c>
      <c r="F17" s="250">
        <v>13</v>
      </c>
      <c r="G17" s="277"/>
      <c r="H17" s="272" t="s">
        <v>206</v>
      </c>
      <c r="I17" s="273"/>
      <c r="J17" s="273"/>
      <c r="K17" s="273"/>
      <c r="L17" s="273"/>
      <c r="M17" s="281"/>
      <c r="N17" s="281"/>
      <c r="O17" s="250"/>
      <c r="R17" s="260"/>
      <c r="S17" s="260"/>
    </row>
    <row r="18" spans="1:19" ht="12" customHeight="1">
      <c r="A18" s="275">
        <v>14</v>
      </c>
      <c r="B18" s="130" t="s">
        <v>31</v>
      </c>
      <c r="C18" s="130"/>
      <c r="D18" s="276">
        <f>[1]!FP1290Medicaid</f>
        <v>0</v>
      </c>
      <c r="E18" s="14">
        <v>0</v>
      </c>
      <c r="F18" s="250">
        <v>14</v>
      </c>
      <c r="G18" s="277"/>
      <c r="H18" s="224" t="s">
        <v>52</v>
      </c>
      <c r="M18" s="282"/>
      <c r="N18" s="282"/>
      <c r="R18" s="260"/>
      <c r="S18" s="260"/>
    </row>
    <row r="19" spans="1:19" ht="12" customHeight="1">
      <c r="A19" s="275">
        <v>15</v>
      </c>
      <c r="B19" s="130" t="s">
        <v>37</v>
      </c>
      <c r="C19" s="130"/>
      <c r="D19" s="280">
        <f>[1]!FP1300Charter</f>
        <v>0</v>
      </c>
      <c r="E19" s="15">
        <v>0</v>
      </c>
      <c r="F19" s="250">
        <v>15</v>
      </c>
      <c r="G19" s="277"/>
      <c r="H19" s="130"/>
      <c r="I19" s="130"/>
      <c r="J19" s="130"/>
      <c r="K19" s="130"/>
      <c r="M19" s="499" t="s">
        <v>488</v>
      </c>
      <c r="N19" s="499" t="s">
        <v>485</v>
      </c>
      <c r="R19" s="260"/>
      <c r="S19" s="260"/>
    </row>
    <row r="20" spans="1:19" ht="12" customHeight="1">
      <c r="A20" s="275">
        <v>16</v>
      </c>
      <c r="B20" s="130" t="s">
        <v>96</v>
      </c>
      <c r="C20" s="130"/>
      <c r="D20" s="283">
        <f>[1]!FP13__ImpactAid</f>
        <v>0</v>
      </c>
      <c r="E20" s="19">
        <v>0</v>
      </c>
      <c r="F20" s="250">
        <v>16</v>
      </c>
      <c r="G20" s="277"/>
      <c r="H20" s="130"/>
      <c r="I20" s="130"/>
      <c r="J20" s="130"/>
      <c r="K20" s="130"/>
      <c r="M20" s="499"/>
      <c r="N20" s="499"/>
      <c r="R20" s="260"/>
      <c r="S20" s="260"/>
    </row>
    <row r="21" spans="1:19" ht="12" customHeight="1" thickBot="1">
      <c r="A21" s="275">
        <v>17</v>
      </c>
      <c r="B21" s="284" t="s">
        <v>35</v>
      </c>
      <c r="C21" s="278"/>
      <c r="D21" s="285">
        <f>[1]!FP13101399Other</f>
        <v>1359067</v>
      </c>
      <c r="E21" s="16">
        <v>301272</v>
      </c>
      <c r="F21" s="250">
        <v>17</v>
      </c>
      <c r="G21" s="275" t="s">
        <v>17</v>
      </c>
      <c r="H21" s="224" t="s">
        <v>235</v>
      </c>
      <c r="I21" s="224"/>
      <c r="J21" s="130"/>
      <c r="K21" s="130"/>
      <c r="M21" s="280">
        <f>[1]!IIPTeacherCompensationIncreases</f>
        <v>0</v>
      </c>
      <c r="N21" s="15">
        <v>0</v>
      </c>
      <c r="O21" s="275" t="s">
        <v>17</v>
      </c>
      <c r="R21" s="260"/>
      <c r="S21" s="260"/>
    </row>
    <row r="22" spans="1:19" ht="12" customHeight="1" thickBot="1">
      <c r="A22" s="275">
        <v>18</v>
      </c>
      <c r="B22" s="130" t="s">
        <v>471</v>
      </c>
      <c r="C22" s="130"/>
      <c r="D22" s="286">
        <f>SUM(D5:D21)</f>
        <v>1855578</v>
      </c>
      <c r="E22" s="286">
        <f>SUM(E5:E21)</f>
        <v>723687</v>
      </c>
      <c r="F22" s="250">
        <v>18</v>
      </c>
      <c r="G22" s="275" t="s">
        <v>18</v>
      </c>
      <c r="H22" s="130" t="s">
        <v>236</v>
      </c>
      <c r="I22" s="130"/>
      <c r="J22" s="287"/>
      <c r="M22" s="280">
        <f>[1]!IIPClassSizeReduction</f>
        <v>0</v>
      </c>
      <c r="N22" s="15">
        <v>0</v>
      </c>
      <c r="O22" s="275" t="s">
        <v>18</v>
      </c>
      <c r="R22" s="260"/>
      <c r="S22" s="260"/>
    </row>
    <row r="23" spans="1:19" ht="12.75" customHeight="1" thickTop="1">
      <c r="A23" s="288" t="s">
        <v>214</v>
      </c>
      <c r="B23" s="130"/>
      <c r="C23" s="130"/>
      <c r="D23" s="238"/>
      <c r="E23" s="289"/>
      <c r="F23" s="250"/>
      <c r="G23" s="275" t="s">
        <v>47</v>
      </c>
      <c r="H23" s="278" t="s">
        <v>237</v>
      </c>
      <c r="I23" s="278"/>
      <c r="J23" s="279"/>
      <c r="K23" s="290"/>
      <c r="M23" s="280">
        <f>[1]!IIPDropoutPreventionPrograms</f>
        <v>0</v>
      </c>
      <c r="N23" s="15">
        <v>0</v>
      </c>
      <c r="O23" s="275" t="s">
        <v>47</v>
      </c>
      <c r="R23" s="260"/>
      <c r="S23" s="260"/>
    </row>
    <row r="24" spans="1:19" ht="12" customHeight="1">
      <c r="A24" s="275">
        <v>19</v>
      </c>
      <c r="B24" s="130" t="s">
        <v>22</v>
      </c>
      <c r="C24" s="130"/>
      <c r="D24" s="246">
        <f>[1]!SP1400VocEd</f>
        <v>0</v>
      </c>
      <c r="E24" s="2">
        <v>0</v>
      </c>
      <c r="F24" s="250">
        <v>19</v>
      </c>
      <c r="G24" s="275" t="s">
        <v>48</v>
      </c>
      <c r="H24" s="278" t="s">
        <v>238</v>
      </c>
      <c r="I24" s="278"/>
      <c r="J24" s="279"/>
      <c r="K24" s="290"/>
      <c r="M24" s="280">
        <f>[1]!IIPInstructionalImprovementPrograms</f>
        <v>19079</v>
      </c>
      <c r="N24" s="15">
        <v>40286</v>
      </c>
      <c r="O24" s="275" t="s">
        <v>48</v>
      </c>
      <c r="R24" s="260"/>
      <c r="S24" s="260"/>
    </row>
    <row r="25" spans="1:19" ht="12" customHeight="1" thickBot="1">
      <c r="A25" s="275">
        <v>20</v>
      </c>
      <c r="B25" s="130" t="s">
        <v>32</v>
      </c>
      <c r="C25" s="130"/>
      <c r="D25" s="276">
        <f>[1]!SP1410EarlyChildhoodBlockGrant</f>
        <v>0</v>
      </c>
      <c r="E25" s="14">
        <v>0</v>
      </c>
      <c r="F25" s="250">
        <v>20</v>
      </c>
      <c r="G25" s="275" t="s">
        <v>49</v>
      </c>
      <c r="H25" s="224" t="s">
        <v>207</v>
      </c>
      <c r="I25" s="224"/>
      <c r="J25" s="130"/>
      <c r="K25" s="130"/>
      <c r="M25" s="286">
        <f>SUM(M21:M24)</f>
        <v>19079</v>
      </c>
      <c r="N25" s="286">
        <f>SUM(N21:N24)</f>
        <v>40286</v>
      </c>
      <c r="O25" s="275" t="s">
        <v>49</v>
      </c>
      <c r="R25" s="260"/>
      <c r="S25" s="260"/>
    </row>
    <row r="26" spans="1:19" ht="12" customHeight="1" thickTop="1">
      <c r="A26" s="275">
        <v>21</v>
      </c>
      <c r="B26" s="130" t="s">
        <v>76</v>
      </c>
      <c r="C26" s="130"/>
      <c r="D26" s="276">
        <f>[1]!FP1420ExtendedSchool</f>
        <v>0</v>
      </c>
      <c r="E26" s="14">
        <v>0</v>
      </c>
      <c r="F26" s="250">
        <v>21</v>
      </c>
      <c r="K26" s="287"/>
      <c r="R26" s="260"/>
      <c r="S26" s="260"/>
    </row>
    <row r="27" spans="1:19" ht="12" customHeight="1">
      <c r="A27" s="275">
        <v>22</v>
      </c>
      <c r="B27" s="130" t="s">
        <v>23</v>
      </c>
      <c r="C27" s="130"/>
      <c r="D27" s="276">
        <f>[1]!SP1425AdultBasicEd</f>
        <v>0</v>
      </c>
      <c r="E27" s="14">
        <v>0</v>
      </c>
      <c r="F27" s="250">
        <v>22</v>
      </c>
      <c r="H27" s="269" t="s">
        <v>189</v>
      </c>
      <c r="I27" s="145"/>
      <c r="J27" s="145"/>
      <c r="L27" s="272" t="s">
        <v>190</v>
      </c>
      <c r="M27" s="291"/>
      <c r="N27" s="291"/>
      <c r="O27" s="250"/>
      <c r="R27" s="260"/>
      <c r="S27" s="260"/>
    </row>
    <row r="28" spans="1:19" ht="12" customHeight="1">
      <c r="A28" s="275">
        <v>23</v>
      </c>
      <c r="B28" s="130" t="s">
        <v>24</v>
      </c>
      <c r="C28" s="130"/>
      <c r="D28" s="276">
        <f>[1]!SP1430ChemicalAbuse</f>
        <v>0</v>
      </c>
      <c r="E28" s="14">
        <v>0</v>
      </c>
      <c r="F28" s="250">
        <v>23</v>
      </c>
      <c r="H28" s="269" t="s">
        <v>211</v>
      </c>
      <c r="I28" s="145"/>
      <c r="J28" s="145"/>
      <c r="L28" s="145" t="s">
        <v>16</v>
      </c>
      <c r="M28" s="145"/>
      <c r="N28" s="145"/>
    </row>
    <row r="29" spans="1:19" ht="12" customHeight="1">
      <c r="A29" s="275">
        <v>24</v>
      </c>
      <c r="B29" s="130" t="s">
        <v>25</v>
      </c>
      <c r="C29" s="130"/>
      <c r="D29" s="276">
        <f>[1]!SP1435AcademicContests</f>
        <v>0</v>
      </c>
      <c r="E29" s="14">
        <v>0</v>
      </c>
      <c r="F29" s="250">
        <v>24</v>
      </c>
      <c r="H29" t="s">
        <v>316</v>
      </c>
      <c r="I29" s="34" t="s">
        <v>15</v>
      </c>
      <c r="J29" s="9">
        <v>10</v>
      </c>
      <c r="L29" s="43" t="s">
        <v>239</v>
      </c>
      <c r="N29" s="3">
        <v>24000</v>
      </c>
    </row>
    <row r="30" spans="1:19" ht="12" customHeight="1">
      <c r="A30" s="275">
        <v>25</v>
      </c>
      <c r="B30" s="130" t="s">
        <v>62</v>
      </c>
      <c r="C30" s="130"/>
      <c r="D30" s="276">
        <f>[1]!SP1450GiftedEd</f>
        <v>0</v>
      </c>
      <c r="E30" s="14">
        <v>0</v>
      </c>
      <c r="F30" s="250">
        <v>25</v>
      </c>
      <c r="G30" s="103"/>
      <c r="H30" t="s">
        <v>317</v>
      </c>
      <c r="I30" s="34" t="s">
        <v>15</v>
      </c>
      <c r="J30" s="20">
        <v>5</v>
      </c>
      <c r="K30" s="130"/>
      <c r="L30" s="43" t="s">
        <v>240</v>
      </c>
      <c r="N30" s="3">
        <f>SP1000P100F1000+SP1000P200F1000+CSPTotal+TotalInstructionalImprovement+300000</f>
        <v>1958838</v>
      </c>
      <c r="O30" s="102"/>
    </row>
    <row r="31" spans="1:19" ht="12" customHeight="1">
      <c r="A31" s="275">
        <v>26</v>
      </c>
      <c r="B31" s="278" t="s">
        <v>102</v>
      </c>
      <c r="C31" s="278"/>
      <c r="D31" s="276">
        <f>'[1]Page 2'!$E$31</f>
        <v>0</v>
      </c>
      <c r="E31" s="14">
        <v>0</v>
      </c>
      <c r="F31" s="250">
        <v>26</v>
      </c>
      <c r="I31" s="34"/>
      <c r="J31" s="292"/>
      <c r="L31" s="43"/>
      <c r="N31" s="260"/>
      <c r="O31" s="102"/>
    </row>
    <row r="32" spans="1:19" ht="12" customHeight="1">
      <c r="A32" s="275">
        <v>27</v>
      </c>
      <c r="B32" s="130" t="s">
        <v>26</v>
      </c>
      <c r="C32" s="130"/>
      <c r="D32" s="276">
        <f>[1]!SP1460EnvironmentalSpecialPlate</f>
        <v>0</v>
      </c>
      <c r="E32" s="14">
        <v>0</v>
      </c>
      <c r="F32" s="250">
        <v>27</v>
      </c>
      <c r="H32" s="293" t="s">
        <v>192</v>
      </c>
      <c r="I32" s="294"/>
      <c r="J32" s="295"/>
      <c r="K32" s="296"/>
      <c r="L32" s="296"/>
      <c r="M32" s="296"/>
      <c r="O32" s="102"/>
    </row>
    <row r="33" spans="1:15" ht="12" customHeight="1">
      <c r="A33" s="275">
        <v>28</v>
      </c>
      <c r="B33" s="130" t="s">
        <v>36</v>
      </c>
      <c r="C33" s="130"/>
      <c r="D33" s="276">
        <f>[1]!SP1465CharterSchool</f>
        <v>0</v>
      </c>
      <c r="E33" s="14">
        <v>0</v>
      </c>
      <c r="F33" s="250">
        <v>28</v>
      </c>
      <c r="H33" s="293" t="s">
        <v>191</v>
      </c>
      <c r="I33" s="294"/>
      <c r="J33" s="295"/>
      <c r="K33" s="296"/>
      <c r="L33" s="296"/>
      <c r="M33" s="296"/>
    </row>
    <row r="34" spans="1:15" ht="12" customHeight="1">
      <c r="A34" s="275">
        <v>29</v>
      </c>
      <c r="B34" s="284" t="s">
        <v>377</v>
      </c>
      <c r="C34" s="297"/>
      <c r="D34" s="276">
        <f>'[1]Page 2'!$E$35</f>
        <v>0</v>
      </c>
      <c r="E34" s="14">
        <v>0</v>
      </c>
      <c r="F34" s="250">
        <v>29</v>
      </c>
      <c r="H34" s="130" t="s">
        <v>349</v>
      </c>
      <c r="K34" s="145"/>
      <c r="M34" s="298"/>
    </row>
    <row r="35" spans="1:15" ht="12" customHeight="1" thickBot="1">
      <c r="A35" s="275">
        <v>30</v>
      </c>
      <c r="B35" s="284" t="s">
        <v>512</v>
      </c>
      <c r="C35" s="284"/>
      <c r="D35" s="276">
        <f>[1]!SP14701499Other</f>
        <v>0</v>
      </c>
      <c r="E35" s="14">
        <v>0</v>
      </c>
      <c r="F35" s="250">
        <v>30</v>
      </c>
      <c r="H35" s="130" t="s">
        <v>345</v>
      </c>
      <c r="M35" s="298"/>
      <c r="N35" s="3">
        <v>161544</v>
      </c>
    </row>
    <row r="36" spans="1:15" ht="12" customHeight="1" thickBot="1">
      <c r="A36" s="275">
        <v>31</v>
      </c>
      <c r="B36" s="130" t="s">
        <v>491</v>
      </c>
      <c r="C36" s="130"/>
      <c r="D36" s="299">
        <f>SUM(D24:D35)</f>
        <v>0</v>
      </c>
      <c r="E36" s="299">
        <f>SUM(E24:E35)</f>
        <v>0</v>
      </c>
      <c r="F36" s="250">
        <v>31</v>
      </c>
      <c r="H36" s="130"/>
      <c r="K36" s="145"/>
      <c r="O36" s="275"/>
    </row>
    <row r="37" spans="1:15" ht="12" customHeight="1" thickTop="1" thickBot="1">
      <c r="A37" s="275">
        <v>32</v>
      </c>
      <c r="B37" s="130" t="s">
        <v>492</v>
      </c>
      <c r="C37" s="130"/>
      <c r="D37" s="286">
        <f>D22+D36</f>
        <v>1855578</v>
      </c>
      <c r="E37" s="286">
        <f>E22+E36</f>
        <v>723687</v>
      </c>
      <c r="F37" s="250">
        <v>32</v>
      </c>
      <c r="G37" s="223"/>
      <c r="H37" s="300" t="s">
        <v>360</v>
      </c>
      <c r="N37" s="301"/>
      <c r="O37" s="275"/>
    </row>
    <row r="38" spans="1:15" ht="12" customHeight="1" thickTop="1">
      <c r="A38" s="103"/>
      <c r="F38" s="250"/>
      <c r="G38" s="302"/>
      <c r="H38" s="130" t="s">
        <v>361</v>
      </c>
      <c r="I38" s="269"/>
      <c r="J38" s="303"/>
      <c r="K38" s="269"/>
      <c r="L38" s="303"/>
      <c r="M38" s="269"/>
      <c r="N38" s="3">
        <v>0</v>
      </c>
      <c r="O38" s="275"/>
    </row>
    <row r="39" spans="1:15" ht="13.5" customHeight="1">
      <c r="B39" s="304" t="s">
        <v>210</v>
      </c>
      <c r="C39" s="272"/>
      <c r="D39" s="274" t="s">
        <v>490</v>
      </c>
      <c r="E39" s="274" t="s">
        <v>489</v>
      </c>
      <c r="F39" s="250"/>
      <c r="G39" s="302"/>
      <c r="H39" s="130" t="s">
        <v>382</v>
      </c>
      <c r="I39" s="130"/>
      <c r="J39" s="130"/>
      <c r="K39" s="130"/>
      <c r="L39" s="130"/>
      <c r="M39" s="130"/>
      <c r="N39" s="3">
        <v>0</v>
      </c>
      <c r="O39" s="275"/>
    </row>
    <row r="40" spans="1:15">
      <c r="A40" s="277">
        <v>1</v>
      </c>
      <c r="B40" t="s">
        <v>364</v>
      </c>
      <c r="D40" s="276">
        <f t="array" ref="D40">[1]!CA0181IntangibleAssets</f>
        <v>0</v>
      </c>
      <c r="E40" s="3"/>
      <c r="F40" s="250">
        <v>1</v>
      </c>
      <c r="G40" s="275"/>
      <c r="H40" s="287"/>
      <c r="I40" s="287"/>
      <c r="J40" s="287"/>
      <c r="K40" s="287"/>
      <c r="L40" s="287"/>
      <c r="M40" s="287"/>
      <c r="N40" s="260"/>
      <c r="O40" s="275"/>
    </row>
    <row r="41" spans="1:15" ht="12" customHeight="1">
      <c r="A41" s="277">
        <v>2</v>
      </c>
      <c r="B41" s="130" t="s">
        <v>322</v>
      </c>
      <c r="D41" s="246">
        <f>[1]!CA0191Land</f>
        <v>0</v>
      </c>
      <c r="E41" s="3"/>
      <c r="F41" s="250">
        <v>2</v>
      </c>
      <c r="G41" s="275"/>
      <c r="H41" s="300" t="s">
        <v>370</v>
      </c>
      <c r="I41" s="300"/>
      <c r="J41" s="130"/>
      <c r="K41" s="281"/>
      <c r="L41" s="287"/>
      <c r="M41" s="499" t="s">
        <v>488</v>
      </c>
      <c r="N41" s="499" t="s">
        <v>485</v>
      </c>
      <c r="O41" s="275"/>
    </row>
    <row r="42" spans="1:15" ht="12" customHeight="1">
      <c r="A42" s="277">
        <v>3</v>
      </c>
      <c r="B42" s="130" t="s">
        <v>323</v>
      </c>
      <c r="D42" s="246">
        <f>[1]!CA0192SiteImprovements</f>
        <v>0</v>
      </c>
      <c r="E42" s="2"/>
      <c r="F42" s="250">
        <v>3</v>
      </c>
      <c r="G42" s="302"/>
      <c r="H42" s="300" t="s">
        <v>371</v>
      </c>
      <c r="I42" s="278"/>
      <c r="J42" s="130"/>
      <c r="K42" s="281"/>
      <c r="L42" s="287"/>
      <c r="M42" s="499"/>
      <c r="N42" s="499"/>
      <c r="O42" s="305"/>
    </row>
    <row r="43" spans="1:15" ht="12" customHeight="1">
      <c r="A43" s="277">
        <v>4</v>
      </c>
      <c r="B43" s="130" t="s">
        <v>324</v>
      </c>
      <c r="D43" s="246">
        <f>[1]!CA0194Buildings</f>
        <v>42143</v>
      </c>
      <c r="E43" s="2">
        <v>77000</v>
      </c>
      <c r="F43" s="250">
        <v>4</v>
      </c>
      <c r="G43" s="275">
        <v>1</v>
      </c>
      <c r="H43" s="130" t="s">
        <v>367</v>
      </c>
      <c r="I43" s="306"/>
      <c r="J43" s="130"/>
      <c r="K43" s="281"/>
      <c r="L43" s="306"/>
      <c r="M43" s="307">
        <f t="array" ref="M43">[1]!FTEcertified</f>
        <v>8.19</v>
      </c>
      <c r="N43" s="29">
        <v>14.78</v>
      </c>
      <c r="O43" s="250">
        <v>1</v>
      </c>
    </row>
    <row r="44" spans="1:15" ht="12" customHeight="1">
      <c r="A44" s="277">
        <v>5</v>
      </c>
      <c r="B44" s="130" t="s">
        <v>63</v>
      </c>
      <c r="D44" s="246">
        <f>[1]!CA0196Equipment</f>
        <v>138809</v>
      </c>
      <c r="E44" s="2"/>
      <c r="F44" s="250">
        <v>5</v>
      </c>
      <c r="G44" s="275">
        <v>2</v>
      </c>
      <c r="H44" s="130" t="s">
        <v>368</v>
      </c>
      <c r="J44" s="130"/>
      <c r="K44" s="281"/>
      <c r="L44" s="306"/>
      <c r="M44" s="307">
        <f t="array" ref="M44">[1]!FTEnoncertified</f>
        <v>21.46</v>
      </c>
      <c r="N44" s="29">
        <v>13.4</v>
      </c>
      <c r="O44" s="250">
        <v>2</v>
      </c>
    </row>
    <row r="45" spans="1:15" ht="12" customHeight="1" thickBot="1">
      <c r="A45" s="103">
        <v>6</v>
      </c>
      <c r="B45" s="130" t="s">
        <v>325</v>
      </c>
      <c r="D45" s="308">
        <f>[1]!CA0198CIP</f>
        <v>0</v>
      </c>
      <c r="E45" s="10"/>
      <c r="F45" s="250">
        <v>6</v>
      </c>
      <c r="G45" s="275">
        <v>3</v>
      </c>
      <c r="H45" s="130" t="s">
        <v>369</v>
      </c>
      <c r="I45" s="306"/>
      <c r="J45" s="130"/>
      <c r="K45" s="281"/>
      <c r="L45" s="306"/>
      <c r="M45" s="307">
        <f t="array" ref="M45">[1]!FTEcontract</f>
        <v>2</v>
      </c>
      <c r="N45" s="29">
        <v>1</v>
      </c>
      <c r="O45" s="250">
        <v>3</v>
      </c>
    </row>
    <row r="46" spans="1:15" ht="12" customHeight="1" thickBot="1">
      <c r="A46" s="309">
        <v>7</v>
      </c>
      <c r="B46" s="130" t="s">
        <v>391</v>
      </c>
      <c r="D46" s="286">
        <f>SUM(D40:D45)</f>
        <v>180952</v>
      </c>
      <c r="E46" s="286">
        <f>SUM(E40:E45)</f>
        <v>77000</v>
      </c>
      <c r="F46" s="250">
        <v>7</v>
      </c>
      <c r="G46" s="305"/>
      <c r="H46" s="310"/>
      <c r="I46" s="306"/>
      <c r="J46" s="130"/>
      <c r="K46" s="281"/>
      <c r="L46" s="306"/>
      <c r="M46" s="311"/>
      <c r="N46" s="311"/>
    </row>
    <row r="47" spans="1:15" ht="13.5" customHeight="1" thickTop="1">
      <c r="G47" s="305"/>
      <c r="N47" s="281"/>
    </row>
    <row r="48" spans="1:15" ht="13.5" customHeight="1">
      <c r="A48" s="309">
        <v>8</v>
      </c>
      <c r="B48" s="495" t="s">
        <v>392</v>
      </c>
      <c r="C48" s="496"/>
      <c r="D48" s="253">
        <f>[1]!CAK3Reading</f>
        <v>0</v>
      </c>
      <c r="E48" s="3"/>
      <c r="F48" s="250">
        <v>8</v>
      </c>
    </row>
    <row r="49" spans="9:9" ht="27" customHeight="1"/>
    <row r="50" spans="9:9" ht="12.75" customHeight="1">
      <c r="I50" s="43"/>
    </row>
  </sheetData>
  <sheetProtection sheet="1" objects="1" scenarios="1"/>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scale="75"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H8" sqref="H8"/>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182</v>
      </c>
      <c r="D1" s="35" t="str">
        <f>CharterName</f>
        <v>Tucson International Academy</v>
      </c>
      <c r="E1" s="43"/>
      <c r="F1" s="34" t="s">
        <v>186</v>
      </c>
      <c r="G1" s="163" t="str">
        <f>Cover!M1</f>
        <v>Pima</v>
      </c>
      <c r="H1" s="114"/>
      <c r="I1" s="114"/>
      <c r="J1" s="114"/>
      <c r="K1" s="34" t="s">
        <v>221</v>
      </c>
      <c r="L1" s="37" t="str">
        <f>CTD</f>
        <v>108714000</v>
      </c>
      <c r="M1" s="114"/>
    </row>
    <row r="2" spans="1:14" ht="12.75" customHeight="1">
      <c r="A2" s="145"/>
      <c r="B2" s="145"/>
      <c r="C2" s="145"/>
      <c r="D2" s="145"/>
      <c r="E2" s="145"/>
      <c r="F2" s="145"/>
      <c r="G2" s="145"/>
      <c r="H2" s="145"/>
      <c r="I2" s="145"/>
      <c r="J2" s="145"/>
      <c r="K2" s="145"/>
    </row>
    <row r="3" spans="1:14">
      <c r="A3" s="145"/>
      <c r="B3" s="145"/>
      <c r="C3" s="145"/>
      <c r="D3" s="145"/>
      <c r="E3" s="145"/>
      <c r="F3" s="145"/>
      <c r="G3" s="145"/>
      <c r="H3" s="145"/>
      <c r="I3" s="145"/>
      <c r="J3" s="145"/>
      <c r="K3" s="145"/>
    </row>
    <row r="4" spans="1:14">
      <c r="A4" s="312"/>
      <c r="B4" s="313"/>
      <c r="C4" s="313"/>
      <c r="D4" s="501"/>
      <c r="E4" s="314"/>
      <c r="F4" s="315"/>
      <c r="G4" s="237" t="s">
        <v>46</v>
      </c>
      <c r="H4" s="316" t="s">
        <v>9</v>
      </c>
      <c r="I4" s="317"/>
      <c r="J4" s="482" t="s">
        <v>27</v>
      </c>
      <c r="K4" s="483"/>
      <c r="L4" s="317" t="s">
        <v>29</v>
      </c>
    </row>
    <row r="5" spans="1:14" ht="12.75" customHeight="1">
      <c r="A5" s="318" t="s">
        <v>45</v>
      </c>
      <c r="D5" s="493"/>
      <c r="E5" s="98"/>
      <c r="F5" s="234" t="s">
        <v>10</v>
      </c>
      <c r="G5" s="119" t="s">
        <v>228</v>
      </c>
      <c r="H5" s="319" t="s">
        <v>226</v>
      </c>
      <c r="I5" s="234" t="s">
        <v>11</v>
      </c>
      <c r="J5" s="234" t="s">
        <v>229</v>
      </c>
      <c r="K5" s="234" t="s">
        <v>230</v>
      </c>
      <c r="L5" s="234" t="s">
        <v>30</v>
      </c>
    </row>
    <row r="6" spans="1:14">
      <c r="A6" s="74"/>
      <c r="B6" s="146"/>
      <c r="C6" s="146"/>
      <c r="D6" s="146"/>
      <c r="E6" s="320"/>
      <c r="F6" s="241">
        <v>6100</v>
      </c>
      <c r="G6" s="321">
        <v>6200</v>
      </c>
      <c r="H6" s="319" t="s">
        <v>97</v>
      </c>
      <c r="I6" s="234">
        <v>6600</v>
      </c>
      <c r="J6" s="234">
        <v>2023</v>
      </c>
      <c r="K6" s="234">
        <v>2024</v>
      </c>
      <c r="L6" s="234" t="s">
        <v>312</v>
      </c>
    </row>
    <row r="7" spans="1:14" ht="12.75" customHeight="1">
      <c r="A7" s="322" t="s">
        <v>363</v>
      </c>
      <c r="B7" s="323"/>
      <c r="C7" s="323"/>
      <c r="D7" s="323"/>
      <c r="F7" s="242"/>
      <c r="G7" s="243"/>
      <c r="H7" s="242"/>
      <c r="I7" s="242"/>
      <c r="J7" s="324"/>
      <c r="K7" s="243"/>
      <c r="L7" s="245"/>
      <c r="M7" s="325"/>
      <c r="N7" s="326"/>
    </row>
    <row r="8" spans="1:14">
      <c r="A8" s="57"/>
      <c r="C8" t="s">
        <v>14</v>
      </c>
      <c r="D8" s="233"/>
      <c r="E8" s="103">
        <v>1</v>
      </c>
      <c r="F8" s="2">
        <v>210459</v>
      </c>
      <c r="G8" s="17">
        <v>44800</v>
      </c>
      <c r="H8" s="2"/>
      <c r="I8" s="2"/>
      <c r="J8" s="255" cm="1">
        <f t="array" ref="J8">[1]!_xlbgnm.CSP1000</f>
        <v>308089</v>
      </c>
      <c r="K8" s="247">
        <f t="shared" ref="K8:K12" si="0">SUM(F8:I8)</f>
        <v>255259</v>
      </c>
      <c r="L8" s="251">
        <f t="shared" ref="L8:L13" si="1">IF(J8=0," ",(K8-J8)/J8)</f>
        <v>-0.17100000000000001</v>
      </c>
      <c r="M8" s="250">
        <v>1</v>
      </c>
      <c r="N8" s="326"/>
    </row>
    <row r="9" spans="1:14" ht="12.75" customHeight="1">
      <c r="A9" s="57"/>
      <c r="C9" t="s">
        <v>318</v>
      </c>
      <c r="E9" s="103">
        <v>2</v>
      </c>
      <c r="F9" s="2"/>
      <c r="G9" s="2"/>
      <c r="H9" s="2"/>
      <c r="I9" s="2"/>
      <c r="J9" s="246" cm="1">
        <f t="array" ref="J9">[1]!_xlbgnm.CSP2100</f>
        <v>0</v>
      </c>
      <c r="K9" s="247">
        <f t="shared" si="0"/>
        <v>0</v>
      </c>
      <c r="L9" s="251" t="str">
        <f t="shared" si="1"/>
        <v xml:space="preserve"> </v>
      </c>
      <c r="M9" s="250">
        <v>2</v>
      </c>
      <c r="N9" s="326"/>
    </row>
    <row r="10" spans="1:14">
      <c r="A10" s="57"/>
      <c r="C10" t="s">
        <v>319</v>
      </c>
      <c r="E10" s="103">
        <v>3</v>
      </c>
      <c r="F10" s="2"/>
      <c r="G10" s="2"/>
      <c r="H10" s="2"/>
      <c r="I10" s="2"/>
      <c r="J10" s="246" cm="1">
        <f t="array" ref="J10">[1]!_xlbgnm.CSP2200</f>
        <v>0</v>
      </c>
      <c r="K10" s="247">
        <f t="shared" si="0"/>
        <v>0</v>
      </c>
      <c r="L10" s="251" t="str">
        <f t="shared" si="1"/>
        <v xml:space="preserve"> </v>
      </c>
      <c r="M10" s="250">
        <v>3</v>
      </c>
      <c r="N10" s="326"/>
    </row>
    <row r="11" spans="1:14">
      <c r="A11" s="57"/>
      <c r="C11" s="284" t="s">
        <v>321</v>
      </c>
      <c r="D11" s="284"/>
      <c r="E11" s="103">
        <v>4</v>
      </c>
      <c r="F11" s="265"/>
      <c r="G11" s="265"/>
      <c r="H11" s="2"/>
      <c r="I11" s="265"/>
      <c r="J11" s="246" cm="1">
        <f t="array" ref="J11">[1]!_xlbgnm.CSP2300</f>
        <v>0</v>
      </c>
      <c r="K11" s="247">
        <f t="shared" si="0"/>
        <v>0</v>
      </c>
      <c r="L11" s="259" t="str">
        <f t="shared" si="1"/>
        <v xml:space="preserve"> </v>
      </c>
      <c r="M11" s="250">
        <v>4</v>
      </c>
    </row>
    <row r="12" spans="1:14" ht="12.75" customHeight="1">
      <c r="A12" s="57"/>
      <c r="C12" t="s">
        <v>320</v>
      </c>
      <c r="E12" s="103">
        <v>5</v>
      </c>
      <c r="F12" s="3"/>
      <c r="G12" s="3"/>
      <c r="H12" s="2"/>
      <c r="I12" s="265"/>
      <c r="J12" s="246" cm="1">
        <f t="array" ref="J12">[1]!_xlbgnm.CSP3300</f>
        <v>0</v>
      </c>
      <c r="K12" s="247">
        <f t="shared" si="0"/>
        <v>0</v>
      </c>
      <c r="L12" s="251" t="str">
        <f t="shared" si="1"/>
        <v xml:space="preserve"> </v>
      </c>
      <c r="M12" s="250">
        <v>5</v>
      </c>
      <c r="N12" s="326"/>
    </row>
    <row r="13" spans="1:14" ht="12.75" customHeight="1">
      <c r="A13" s="80" t="s">
        <v>375</v>
      </c>
      <c r="B13" s="266"/>
      <c r="C13" s="266"/>
      <c r="D13" s="266"/>
      <c r="E13" s="327">
        <v>6</v>
      </c>
      <c r="F13" s="328">
        <f>SUM(F8:F12)</f>
        <v>210459</v>
      </c>
      <c r="G13" s="328">
        <f>SUM(G8:G12)</f>
        <v>44800</v>
      </c>
      <c r="H13" s="328">
        <f>SUM(H8:H12)</f>
        <v>0</v>
      </c>
      <c r="I13" s="328">
        <f>SUM(I8:I12)</f>
        <v>0</v>
      </c>
      <c r="J13" s="329" cm="1">
        <f t="array" ref="J13">[1]!CSPTotal</f>
        <v>308089</v>
      </c>
      <c r="K13" s="328">
        <f>SUM(F13:I13)</f>
        <v>255259</v>
      </c>
      <c r="L13" s="251">
        <f t="shared" si="1"/>
        <v>-0.17100000000000001</v>
      </c>
      <c r="M13" s="250">
        <v>6</v>
      </c>
    </row>
    <row r="16" spans="1:14" ht="12.75" customHeight="1">
      <c r="A16" s="322" t="s">
        <v>399</v>
      </c>
      <c r="B16" s="330"/>
      <c r="C16" s="330"/>
      <c r="D16" s="330"/>
    </row>
    <row r="17" spans="3:6" ht="12.75" customHeight="1">
      <c r="C17" t="s">
        <v>383</v>
      </c>
      <c r="D17" s="223"/>
      <c r="F17" s="3"/>
    </row>
    <row r="18" spans="3:6" ht="12.75" customHeight="1">
      <c r="C18" t="s">
        <v>361</v>
      </c>
      <c r="D18" s="223"/>
      <c r="F18" s="2"/>
    </row>
    <row r="19" spans="3:6" ht="12.75" customHeight="1">
      <c r="C19" t="s">
        <v>382</v>
      </c>
      <c r="D19" s="223"/>
      <c r="F19" s="2"/>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163</v>
      </c>
      <c r="D1" s="491" t="str">
        <f>CharterName</f>
        <v>Tucson International Academy</v>
      </c>
      <c r="E1" s="491"/>
      <c r="F1" s="491"/>
      <c r="G1" s="43"/>
      <c r="I1" s="34" t="s">
        <v>186</v>
      </c>
      <c r="J1" s="486" t="str">
        <f>Cover!M1</f>
        <v>Pima</v>
      </c>
      <c r="K1" s="486"/>
      <c r="M1" s="34" t="s">
        <v>221</v>
      </c>
      <c r="N1" s="492" t="str">
        <f>CTD</f>
        <v>108714000</v>
      </c>
      <c r="O1" s="492"/>
    </row>
    <row r="2" spans="1:16">
      <c r="A2" s="145"/>
      <c r="B2" s="145"/>
      <c r="C2" s="331"/>
      <c r="D2" s="145"/>
      <c r="E2" s="145"/>
      <c r="F2" s="145"/>
      <c r="G2" s="145"/>
      <c r="H2" s="145"/>
      <c r="I2" s="145"/>
      <c r="J2" s="145"/>
    </row>
    <row r="3" spans="1:16">
      <c r="A3" s="332"/>
      <c r="B3" s="333"/>
      <c r="C3" s="333"/>
      <c r="D3" s="501"/>
      <c r="E3" s="334"/>
      <c r="F3" s="335" t="s">
        <v>56</v>
      </c>
      <c r="G3" s="314"/>
      <c r="H3" s="245"/>
      <c r="I3" s="245"/>
      <c r="J3" s="317" t="s">
        <v>9</v>
      </c>
      <c r="K3" s="244"/>
      <c r="L3" s="244"/>
      <c r="M3" s="235" t="s">
        <v>27</v>
      </c>
      <c r="N3" s="236"/>
      <c r="O3" s="245"/>
    </row>
    <row r="4" spans="1:16">
      <c r="A4" s="318"/>
      <c r="D4" s="493"/>
      <c r="E4" s="98"/>
      <c r="F4" s="336" t="s">
        <v>241</v>
      </c>
      <c r="G4" s="337"/>
      <c r="H4" s="234"/>
      <c r="I4" s="234" t="s">
        <v>55</v>
      </c>
      <c r="J4" s="234" t="s">
        <v>226</v>
      </c>
      <c r="K4" s="238"/>
      <c r="L4" s="238"/>
      <c r="M4" s="238"/>
      <c r="N4" s="238"/>
      <c r="O4" s="234" t="s">
        <v>29</v>
      </c>
    </row>
    <row r="5" spans="1:16">
      <c r="A5" s="318" t="s">
        <v>45</v>
      </c>
      <c r="E5" s="98"/>
      <c r="F5" s="317" t="s">
        <v>94</v>
      </c>
      <c r="G5" s="317" t="s">
        <v>28</v>
      </c>
      <c r="H5" s="234" t="s">
        <v>10</v>
      </c>
      <c r="I5" s="234" t="s">
        <v>228</v>
      </c>
      <c r="J5" s="234" t="s">
        <v>13</v>
      </c>
      <c r="K5" s="234" t="s">
        <v>11</v>
      </c>
      <c r="L5" s="234" t="s">
        <v>12</v>
      </c>
      <c r="M5" s="234" t="s">
        <v>229</v>
      </c>
      <c r="N5" s="234" t="s">
        <v>230</v>
      </c>
      <c r="O5" s="234" t="s">
        <v>30</v>
      </c>
    </row>
    <row r="6" spans="1:16">
      <c r="A6" s="338"/>
      <c r="B6" s="146"/>
      <c r="C6" s="146"/>
      <c r="D6" s="146"/>
      <c r="E6" s="256"/>
      <c r="F6" s="234" t="s">
        <v>227</v>
      </c>
      <c r="G6" s="234" t="s">
        <v>227</v>
      </c>
      <c r="H6" s="241">
        <v>6100</v>
      </c>
      <c r="I6" s="241">
        <v>6200</v>
      </c>
      <c r="J6" s="241">
        <v>6500</v>
      </c>
      <c r="K6" s="241">
        <v>6600</v>
      </c>
      <c r="L6" s="241">
        <v>6800</v>
      </c>
      <c r="M6" s="234">
        <v>2023</v>
      </c>
      <c r="N6" s="234">
        <v>2024</v>
      </c>
      <c r="O6" s="234" t="s">
        <v>312</v>
      </c>
    </row>
    <row r="7" spans="1:16">
      <c r="A7" s="339" t="s">
        <v>176</v>
      </c>
      <c r="B7" s="340"/>
      <c r="C7" s="340"/>
      <c r="D7" s="340"/>
      <c r="E7" s="341"/>
      <c r="F7" s="342"/>
      <c r="G7" s="343"/>
      <c r="H7" s="242"/>
      <c r="I7" s="242"/>
      <c r="J7" s="242"/>
      <c r="K7" s="242"/>
      <c r="L7" s="243"/>
      <c r="M7" s="245"/>
      <c r="N7" s="245"/>
      <c r="O7" s="245"/>
    </row>
    <row r="8" spans="1:16">
      <c r="A8" s="57"/>
      <c r="B8" t="s">
        <v>346</v>
      </c>
      <c r="E8" s="103"/>
      <c r="F8" s="344"/>
      <c r="G8" s="345"/>
      <c r="H8" s="257"/>
      <c r="I8" s="257"/>
      <c r="J8" s="257"/>
      <c r="K8" s="257"/>
      <c r="L8" s="248"/>
      <c r="M8" s="257"/>
      <c r="N8" s="257"/>
      <c r="O8" s="249"/>
    </row>
    <row r="9" spans="1:16">
      <c r="A9" s="57"/>
      <c r="C9" t="s">
        <v>14</v>
      </c>
      <c r="E9" s="103">
        <v>1</v>
      </c>
      <c r="F9" s="346" cm="1">
        <f t="array" ref="F9">[1]!SEIP1071P260F1000PPL</f>
        <v>0</v>
      </c>
      <c r="G9" s="18"/>
      <c r="H9" s="2"/>
      <c r="I9" s="2"/>
      <c r="J9" s="2"/>
      <c r="K9" s="2"/>
      <c r="L9" s="17"/>
      <c r="M9" s="246" cm="1">
        <f t="array" ref="M9">[1]!SEIP1071P260F1000</f>
        <v>0</v>
      </c>
      <c r="N9" s="246">
        <f>SUM(H7:L9)</f>
        <v>0</v>
      </c>
      <c r="O9" s="251" t="str">
        <f>IF(M9=0," ",(N9-M9)/M9)</f>
        <v xml:space="preserve"> </v>
      </c>
      <c r="P9" s="250">
        <v>1</v>
      </c>
    </row>
    <row r="10" spans="1:16">
      <c r="A10" s="57"/>
      <c r="C10" t="s">
        <v>296</v>
      </c>
      <c r="E10" s="103"/>
      <c r="F10" s="245"/>
      <c r="G10" s="343"/>
      <c r="H10" s="242"/>
      <c r="I10" s="242"/>
      <c r="J10" s="242"/>
      <c r="K10" s="242"/>
      <c r="L10" s="243"/>
      <c r="M10" s="245"/>
      <c r="N10" s="245"/>
      <c r="O10" s="245"/>
      <c r="P10" s="250"/>
    </row>
    <row r="11" spans="1:16">
      <c r="A11" s="57"/>
      <c r="C11" t="s">
        <v>64</v>
      </c>
      <c r="E11" s="103">
        <v>2</v>
      </c>
      <c r="F11" s="346" cm="1">
        <f t="array" ref="F11">[1]!SEIP1071P260F2100PPL</f>
        <v>0</v>
      </c>
      <c r="G11" s="18"/>
      <c r="H11" s="2"/>
      <c r="I11" s="2"/>
      <c r="J11" s="2"/>
      <c r="K11" s="2"/>
      <c r="L11" s="17"/>
      <c r="M11" s="246" cm="1">
        <f t="array" ref="M11">[1]!SEIP1071P260F2100</f>
        <v>0</v>
      </c>
      <c r="N11" s="246">
        <f>SUM(H10:L11)</f>
        <v>0</v>
      </c>
      <c r="O11" s="251" t="str">
        <f>IF(M11=0," ",(N11-M11)/M11)</f>
        <v xml:space="preserve"> </v>
      </c>
      <c r="P11" s="250">
        <v>2</v>
      </c>
    </row>
    <row r="12" spans="1:16">
      <c r="A12" s="57"/>
      <c r="C12" t="s">
        <v>65</v>
      </c>
      <c r="E12" s="254">
        <v>3</v>
      </c>
      <c r="F12" s="346" cm="1">
        <f t="array" ref="F12">[1]!SEIP1071P260F2200PPL</f>
        <v>0</v>
      </c>
      <c r="G12" s="12"/>
      <c r="H12" s="13"/>
      <c r="I12" s="13"/>
      <c r="J12" s="13"/>
      <c r="K12" s="13"/>
      <c r="L12" s="13"/>
      <c r="M12" s="347" cm="1">
        <f t="array" ref="M12">[1]!SEIP1071P260F2200</f>
        <v>0</v>
      </c>
      <c r="N12" s="246">
        <f t="shared" ref="N12:N17" si="0">SUM(H12:L12)</f>
        <v>0</v>
      </c>
      <c r="O12" s="348" t="str">
        <f t="shared" ref="O12:O18" si="1">IF(M12=0," ",(N12-M12)/M12)</f>
        <v xml:space="preserve"> </v>
      </c>
      <c r="P12" s="252">
        <v>3</v>
      </c>
    </row>
    <row r="13" spans="1:16">
      <c r="A13" s="57"/>
      <c r="C13" t="s">
        <v>326</v>
      </c>
      <c r="E13" s="254">
        <v>4</v>
      </c>
      <c r="F13" s="349" cm="1">
        <f t="array" ref="F13">[1]!SEIP1071P260F2300PPL</f>
        <v>0</v>
      </c>
      <c r="G13" s="12"/>
      <c r="H13" s="13"/>
      <c r="I13" s="13"/>
      <c r="J13" s="13"/>
      <c r="K13" s="13"/>
      <c r="L13" s="13"/>
      <c r="M13" s="329" cm="1">
        <f t="array" ref="M13">[1]!SEIP1071P260F2300</f>
        <v>0</v>
      </c>
      <c r="N13" s="253">
        <f t="shared" si="0"/>
        <v>0</v>
      </c>
      <c r="O13" s="350" t="str">
        <f t="shared" si="1"/>
        <v xml:space="preserve"> </v>
      </c>
      <c r="P13" s="252">
        <v>4</v>
      </c>
    </row>
    <row r="14" spans="1:16">
      <c r="A14" s="57"/>
      <c r="C14" t="s">
        <v>327</v>
      </c>
      <c r="E14" s="254">
        <v>5</v>
      </c>
      <c r="F14" s="349" cm="1">
        <f t="array" ref="F14">[1]!SEIP1071P260F2400PPL</f>
        <v>0</v>
      </c>
      <c r="G14" s="12"/>
      <c r="H14" s="13"/>
      <c r="I14" s="13"/>
      <c r="J14" s="13"/>
      <c r="K14" s="13"/>
      <c r="L14" s="13"/>
      <c r="M14" s="329" cm="1">
        <f t="array" ref="M14">[1]!SEIP1071P260F2400</f>
        <v>0</v>
      </c>
      <c r="N14" s="253">
        <f t="shared" si="0"/>
        <v>0</v>
      </c>
      <c r="O14" s="350" t="str">
        <f t="shared" si="1"/>
        <v xml:space="preserve"> </v>
      </c>
      <c r="P14" s="252">
        <v>5</v>
      </c>
    </row>
    <row r="15" spans="1:16">
      <c r="A15" s="57"/>
      <c r="C15" t="s">
        <v>328</v>
      </c>
      <c r="E15" s="254">
        <v>6</v>
      </c>
      <c r="F15" s="349" cm="1">
        <f t="array" ref="F15">[1]!SEIP1071P260F2500PPL</f>
        <v>0</v>
      </c>
      <c r="G15" s="12"/>
      <c r="H15" s="13"/>
      <c r="I15" s="13"/>
      <c r="J15" s="13"/>
      <c r="K15" s="13"/>
      <c r="L15" s="13"/>
      <c r="M15" s="329" cm="1">
        <f t="array" ref="M15">[1]!SEIP1071P260F2500</f>
        <v>0</v>
      </c>
      <c r="N15" s="253">
        <f t="shared" si="0"/>
        <v>0</v>
      </c>
      <c r="O15" s="350" t="str">
        <f t="shared" si="1"/>
        <v xml:space="preserve"> </v>
      </c>
      <c r="P15" s="252">
        <v>6</v>
      </c>
    </row>
    <row r="16" spans="1:16">
      <c r="A16" s="57"/>
      <c r="C16" t="s">
        <v>329</v>
      </c>
      <c r="E16" s="254">
        <v>7</v>
      </c>
      <c r="F16" s="349" cm="1">
        <f t="array" ref="F16">[1]!SEIP1071P260F2600PPL</f>
        <v>0</v>
      </c>
      <c r="G16" s="7"/>
      <c r="H16" s="3"/>
      <c r="I16" s="3"/>
      <c r="J16" s="3"/>
      <c r="K16" s="3"/>
      <c r="L16" s="3"/>
      <c r="M16" s="329" cm="1">
        <f t="array" ref="M16">[1]!SEIP1071P260F2600</f>
        <v>0</v>
      </c>
      <c r="N16" s="253">
        <f t="shared" si="0"/>
        <v>0</v>
      </c>
      <c r="O16" s="350" t="str">
        <f t="shared" si="1"/>
        <v xml:space="preserve"> </v>
      </c>
      <c r="P16" s="252">
        <v>7</v>
      </c>
    </row>
    <row r="17" spans="1:16">
      <c r="A17" s="57"/>
      <c r="C17" t="s">
        <v>330</v>
      </c>
      <c r="E17" s="254">
        <v>8</v>
      </c>
      <c r="F17" s="349" cm="1">
        <f t="array" ref="F17">[1]!SEIP1071P260F2900PPL</f>
        <v>0</v>
      </c>
      <c r="G17" s="8"/>
      <c r="H17" s="2"/>
      <c r="I17" s="2"/>
      <c r="J17" s="2"/>
      <c r="K17" s="2"/>
      <c r="L17" s="2"/>
      <c r="M17" s="329" cm="1">
        <f t="array" ref="M17">[1]!SEIP1071P260F2900</f>
        <v>0</v>
      </c>
      <c r="N17" s="253">
        <f t="shared" si="0"/>
        <v>0</v>
      </c>
      <c r="O17" s="350" t="str">
        <f t="shared" si="1"/>
        <v xml:space="preserve"> </v>
      </c>
      <c r="P17" s="252">
        <v>8</v>
      </c>
    </row>
    <row r="18" spans="1:16">
      <c r="A18" s="74"/>
      <c r="B18" s="146" t="s">
        <v>331</v>
      </c>
      <c r="C18" s="146"/>
      <c r="D18" s="146"/>
      <c r="E18" s="256">
        <v>9</v>
      </c>
      <c r="F18" s="344">
        <f>SUM(F8:F17)</f>
        <v>0</v>
      </c>
      <c r="G18" s="346">
        <f t="shared" ref="G18:L18" si="2">SUM(G7:G17)</f>
        <v>0</v>
      </c>
      <c r="H18" s="246">
        <f t="shared" si="2"/>
        <v>0</v>
      </c>
      <c r="I18" s="246">
        <f t="shared" si="2"/>
        <v>0</v>
      </c>
      <c r="J18" s="246">
        <f t="shared" si="2"/>
        <v>0</v>
      </c>
      <c r="K18" s="246">
        <f t="shared" si="2"/>
        <v>0</v>
      </c>
      <c r="L18" s="246">
        <f t="shared" si="2"/>
        <v>0</v>
      </c>
      <c r="M18" s="257">
        <f>SUM(M8:M17)</f>
        <v>0</v>
      </c>
      <c r="N18" s="257">
        <f>SUM(N8:N17)</f>
        <v>0</v>
      </c>
      <c r="O18" s="351" t="str">
        <f t="shared" si="1"/>
        <v xml:space="preserve"> </v>
      </c>
      <c r="P18" s="250">
        <v>9</v>
      </c>
    </row>
    <row r="19" spans="1:16">
      <c r="A19" s="57"/>
      <c r="B19" t="s">
        <v>332</v>
      </c>
      <c r="E19" s="103"/>
      <c r="F19" s="245"/>
      <c r="G19" s="343"/>
      <c r="H19" s="242"/>
      <c r="I19" s="242"/>
      <c r="J19" s="242"/>
      <c r="K19" s="242"/>
      <c r="L19" s="243"/>
      <c r="M19" s="245"/>
      <c r="N19" s="244"/>
      <c r="O19" s="245"/>
      <c r="P19" s="250"/>
    </row>
    <row r="20" spans="1:16">
      <c r="A20" s="57"/>
      <c r="C20" t="s">
        <v>296</v>
      </c>
      <c r="E20" s="103"/>
      <c r="F20" s="344"/>
      <c r="G20" s="345"/>
      <c r="H20" s="257"/>
      <c r="I20" s="257"/>
      <c r="J20" s="257"/>
      <c r="K20" s="257"/>
      <c r="L20" s="248"/>
      <c r="M20" s="257"/>
      <c r="N20" s="248"/>
      <c r="O20" s="249"/>
      <c r="P20" s="250"/>
    </row>
    <row r="21" spans="1:16">
      <c r="A21" s="57"/>
      <c r="C21" t="s">
        <v>333</v>
      </c>
      <c r="E21" s="103">
        <v>10</v>
      </c>
      <c r="F21" s="346" cm="1">
        <f t="array" ref="F21">[1]!SEIP1071P430F2700PPL</f>
        <v>0</v>
      </c>
      <c r="G21" s="18"/>
      <c r="H21" s="2"/>
      <c r="I21" s="2"/>
      <c r="J21" s="2"/>
      <c r="K21" s="2"/>
      <c r="L21" s="17"/>
      <c r="M21" s="246" cm="1">
        <f t="array" ref="M21">[1]!SEIP1071P430F2700</f>
        <v>0</v>
      </c>
      <c r="N21" s="247">
        <f>SUM(H19:L21)</f>
        <v>0</v>
      </c>
      <c r="O21" s="251" t="str">
        <f>IF(M21=0," ",(N21-M21)/M21)</f>
        <v xml:space="preserve"> </v>
      </c>
      <c r="P21" s="250">
        <v>10</v>
      </c>
    </row>
    <row r="22" spans="1:16">
      <c r="A22" s="80" t="s">
        <v>292</v>
      </c>
      <c r="B22" s="266"/>
      <c r="C22" s="266"/>
      <c r="D22" s="266"/>
      <c r="E22" s="327">
        <v>11</v>
      </c>
      <c r="F22" s="346">
        <f t="shared" ref="F22:L22" si="3">SUM(F18:F21)</f>
        <v>0</v>
      </c>
      <c r="G22" s="346">
        <f t="shared" si="3"/>
        <v>0</v>
      </c>
      <c r="H22" s="253">
        <f t="shared" si="3"/>
        <v>0</v>
      </c>
      <c r="I22" s="253">
        <f t="shared" si="3"/>
        <v>0</v>
      </c>
      <c r="J22" s="253">
        <f t="shared" si="3"/>
        <v>0</v>
      </c>
      <c r="K22" s="253">
        <f t="shared" si="3"/>
        <v>0</v>
      </c>
      <c r="L22" s="253">
        <f t="shared" si="3"/>
        <v>0</v>
      </c>
      <c r="M22" s="246" cm="1">
        <f t="array" ref="M22">[1]!TotalSEIP</f>
        <v>0</v>
      </c>
      <c r="N22" s="246">
        <f>SUM(N18:N21)</f>
        <v>0</v>
      </c>
      <c r="O22" s="251" t="str">
        <f>IF(M22=0," ",(N22-M22)/M22)</f>
        <v xml:space="preserve"> </v>
      </c>
      <c r="P22" s="252">
        <v>11</v>
      </c>
    </row>
    <row r="24" spans="1:16">
      <c r="A24" s="332"/>
      <c r="B24" s="333"/>
      <c r="C24" s="333"/>
      <c r="D24" s="333"/>
      <c r="E24" s="334"/>
      <c r="F24" s="335" t="s">
        <v>56</v>
      </c>
      <c r="G24" s="314"/>
      <c r="H24" s="245"/>
      <c r="I24" s="245"/>
      <c r="J24" s="317" t="s">
        <v>9</v>
      </c>
      <c r="K24" s="244"/>
      <c r="L24" s="244"/>
      <c r="M24" s="235" t="s">
        <v>27</v>
      </c>
      <c r="N24" s="236"/>
      <c r="O24" s="245"/>
    </row>
    <row r="25" spans="1:16">
      <c r="A25" s="318"/>
      <c r="E25" s="98"/>
      <c r="F25" s="336" t="s">
        <v>241</v>
      </c>
      <c r="G25" s="337"/>
      <c r="H25" s="234"/>
      <c r="I25" s="234" t="s">
        <v>55</v>
      </c>
      <c r="J25" s="234" t="s">
        <v>226</v>
      </c>
      <c r="K25" s="238"/>
      <c r="L25" s="238"/>
      <c r="M25" s="238"/>
      <c r="N25" s="238"/>
      <c r="O25" s="234" t="s">
        <v>29</v>
      </c>
    </row>
    <row r="26" spans="1:16">
      <c r="A26" s="318" t="s">
        <v>45</v>
      </c>
      <c r="E26" s="98"/>
      <c r="F26" s="317" t="s">
        <v>94</v>
      </c>
      <c r="G26" s="317" t="s">
        <v>28</v>
      </c>
      <c r="H26" s="234" t="s">
        <v>10</v>
      </c>
      <c r="I26" s="234" t="s">
        <v>228</v>
      </c>
      <c r="J26" s="234" t="s">
        <v>13</v>
      </c>
      <c r="K26" s="234" t="s">
        <v>11</v>
      </c>
      <c r="L26" s="234" t="s">
        <v>12</v>
      </c>
      <c r="M26" s="234" t="s">
        <v>229</v>
      </c>
      <c r="N26" s="234" t="s">
        <v>230</v>
      </c>
      <c r="O26" s="234" t="s">
        <v>30</v>
      </c>
    </row>
    <row r="27" spans="1:16">
      <c r="A27" s="338"/>
      <c r="B27" s="146"/>
      <c r="C27" s="146"/>
      <c r="D27" s="146"/>
      <c r="E27" s="256"/>
      <c r="F27" s="234" t="s">
        <v>227</v>
      </c>
      <c r="G27" s="234" t="s">
        <v>227</v>
      </c>
      <c r="H27" s="241">
        <v>6100</v>
      </c>
      <c r="I27" s="241">
        <v>6200</v>
      </c>
      <c r="J27" s="241">
        <v>6500</v>
      </c>
      <c r="K27" s="241">
        <v>6600</v>
      </c>
      <c r="L27" s="241">
        <v>6800</v>
      </c>
      <c r="M27" s="234">
        <v>2023</v>
      </c>
      <c r="N27" s="234">
        <v>2024</v>
      </c>
      <c r="O27" s="234" t="s">
        <v>312</v>
      </c>
    </row>
    <row r="28" spans="1:16">
      <c r="A28" s="339" t="s">
        <v>58</v>
      </c>
      <c r="B28" s="352"/>
      <c r="C28" s="352"/>
      <c r="D28" s="352"/>
      <c r="E28" s="353"/>
      <c r="F28" s="245"/>
      <c r="G28" s="343"/>
      <c r="H28" s="242"/>
      <c r="I28" s="242"/>
      <c r="J28" s="242"/>
      <c r="K28" s="242"/>
      <c r="L28" s="243"/>
      <c r="M28" s="245"/>
      <c r="N28" s="245"/>
      <c r="O28" s="245"/>
    </row>
    <row r="29" spans="1:16">
      <c r="A29" s="57"/>
      <c r="B29" t="s">
        <v>347</v>
      </c>
      <c r="E29" s="103"/>
      <c r="F29" s="344"/>
      <c r="G29" s="345"/>
      <c r="H29" s="257"/>
      <c r="I29" s="257"/>
      <c r="J29" s="257"/>
      <c r="K29" s="257"/>
      <c r="L29" s="248"/>
      <c r="M29" s="257"/>
      <c r="N29" s="257"/>
      <c r="O29" s="249"/>
    </row>
    <row r="30" spans="1:16">
      <c r="A30" s="57"/>
      <c r="C30" t="s">
        <v>14</v>
      </c>
      <c r="E30" s="103">
        <v>12</v>
      </c>
      <c r="F30" s="346" cm="1">
        <f t="array" ref="F30">[1]!CIP1072P265F1000PPL</f>
        <v>0</v>
      </c>
      <c r="G30" s="18"/>
      <c r="H30" s="2"/>
      <c r="I30" s="2"/>
      <c r="J30" s="2"/>
      <c r="K30" s="2"/>
      <c r="L30" s="17"/>
      <c r="M30" s="246" cm="1">
        <f t="array" ref="M30">[1]!CIP1072P265F1000</f>
        <v>0</v>
      </c>
      <c r="N30" s="246">
        <f>SUM(H28:L30)</f>
        <v>0</v>
      </c>
      <c r="O30" s="251" t="str">
        <f>IF(M30=0," ",(N30-M30)/M30)</f>
        <v xml:space="preserve"> </v>
      </c>
      <c r="P30" s="250">
        <v>12</v>
      </c>
    </row>
    <row r="31" spans="1:16">
      <c r="A31" s="57"/>
      <c r="C31" t="s">
        <v>296</v>
      </c>
      <c r="E31" s="103"/>
      <c r="F31" s="245"/>
      <c r="G31" s="343"/>
      <c r="H31" s="242"/>
      <c r="I31" s="242"/>
      <c r="J31" s="242"/>
      <c r="K31" s="242"/>
      <c r="L31" s="243"/>
      <c r="M31" s="245"/>
      <c r="N31" s="245"/>
      <c r="O31" s="245"/>
    </row>
    <row r="32" spans="1:16">
      <c r="A32" s="57"/>
      <c r="C32" t="s">
        <v>64</v>
      </c>
      <c r="E32" s="103">
        <v>13</v>
      </c>
      <c r="F32" s="346" cm="1">
        <f t="array" ref="F32">[1]!CIP1072P265F2100PPL</f>
        <v>0</v>
      </c>
      <c r="G32" s="18"/>
      <c r="H32" s="2"/>
      <c r="I32" s="2"/>
      <c r="J32" s="2"/>
      <c r="K32" s="2"/>
      <c r="L32" s="17"/>
      <c r="M32" s="246" cm="1">
        <f t="array" ref="M32">[1]!CIP1072P265F2100</f>
        <v>0</v>
      </c>
      <c r="N32" s="246">
        <f>SUM(H31:L32)</f>
        <v>0</v>
      </c>
      <c r="O32" s="251" t="str">
        <f>IF(M32=0," ",(N32-M32)/M32)</f>
        <v xml:space="preserve"> </v>
      </c>
      <c r="P32" s="250">
        <v>13</v>
      </c>
    </row>
    <row r="33" spans="1:16">
      <c r="A33" s="57"/>
      <c r="C33" t="s">
        <v>65</v>
      </c>
      <c r="E33" s="254">
        <v>14</v>
      </c>
      <c r="F33" s="346" cm="1">
        <f t="array" ref="F33">[1]!CIP1072P265F2200PPL</f>
        <v>0</v>
      </c>
      <c r="G33" s="12"/>
      <c r="H33" s="13"/>
      <c r="I33" s="13"/>
      <c r="J33" s="13"/>
      <c r="K33" s="13"/>
      <c r="L33" s="13"/>
      <c r="M33" s="347" cm="1">
        <f t="array" ref="M33">[1]!CIP1072P265F2200</f>
        <v>0</v>
      </c>
      <c r="N33" s="246">
        <f t="shared" ref="N33:N38" si="4">SUM(H33:L33)</f>
        <v>0</v>
      </c>
      <c r="O33" s="348" t="str">
        <f t="shared" ref="O33:O39" si="5">IF(M33=0," ",(N33-M33)/M33)</f>
        <v xml:space="preserve"> </v>
      </c>
      <c r="P33" s="252">
        <v>14</v>
      </c>
    </row>
    <row r="34" spans="1:16">
      <c r="A34" s="57"/>
      <c r="C34" t="s">
        <v>326</v>
      </c>
      <c r="E34" s="254">
        <v>15</v>
      </c>
      <c r="F34" s="346" cm="1">
        <f t="array" ref="F34">[1]!CIP1072P265F2300PPL</f>
        <v>0</v>
      </c>
      <c r="G34" s="6"/>
      <c r="H34" s="4"/>
      <c r="I34" s="4"/>
      <c r="J34" s="4"/>
      <c r="K34" s="4"/>
      <c r="L34" s="4"/>
      <c r="M34" s="329" cm="1">
        <f t="array" ref="M34">[1]!CIP1072P265F2300</f>
        <v>0</v>
      </c>
      <c r="N34" s="253">
        <f t="shared" si="4"/>
        <v>0</v>
      </c>
      <c r="O34" s="350" t="str">
        <f t="shared" si="5"/>
        <v xml:space="preserve"> </v>
      </c>
      <c r="P34" s="252">
        <v>15</v>
      </c>
    </row>
    <row r="35" spans="1:16">
      <c r="A35" s="57"/>
      <c r="C35" t="s">
        <v>327</v>
      </c>
      <c r="E35" s="254">
        <v>16</v>
      </c>
      <c r="F35" s="346" cm="1">
        <f t="array" ref="F35">[1]!CIP1072P265F2400PPL</f>
        <v>0</v>
      </c>
      <c r="G35" s="6"/>
      <c r="H35" s="4"/>
      <c r="I35" s="4"/>
      <c r="J35" s="4"/>
      <c r="K35" s="4"/>
      <c r="L35" s="4"/>
      <c r="M35" s="329" cm="1">
        <f t="array" ref="M35">[1]!CIP1072P265F2400</f>
        <v>0</v>
      </c>
      <c r="N35" s="253">
        <f t="shared" si="4"/>
        <v>0</v>
      </c>
      <c r="O35" s="350" t="str">
        <f t="shared" si="5"/>
        <v xml:space="preserve"> </v>
      </c>
      <c r="P35" s="252">
        <v>16</v>
      </c>
    </row>
    <row r="36" spans="1:16">
      <c r="A36" s="57"/>
      <c r="C36" t="s">
        <v>328</v>
      </c>
      <c r="E36" s="254">
        <v>17</v>
      </c>
      <c r="F36" s="346" cm="1">
        <f t="array" ref="F36">[1]!CIP1072P265F2500PPL</f>
        <v>0</v>
      </c>
      <c r="G36" s="6"/>
      <c r="H36" s="4"/>
      <c r="I36" s="4"/>
      <c r="J36" s="4"/>
      <c r="K36" s="4"/>
      <c r="L36" s="4"/>
      <c r="M36" s="329" cm="1">
        <f t="array" ref="M36">[1]!CIP1072P265F2500</f>
        <v>0</v>
      </c>
      <c r="N36" s="253">
        <f t="shared" si="4"/>
        <v>0</v>
      </c>
      <c r="O36" s="350" t="str">
        <f t="shared" si="5"/>
        <v xml:space="preserve"> </v>
      </c>
      <c r="P36" s="252">
        <v>17</v>
      </c>
    </row>
    <row r="37" spans="1:16">
      <c r="A37" s="57"/>
      <c r="C37" t="s">
        <v>329</v>
      </c>
      <c r="E37" s="254">
        <v>18</v>
      </c>
      <c r="F37" s="349" cm="1">
        <f t="array" ref="F37">[1]!CIP1072P265F2600PPL</f>
        <v>0</v>
      </c>
      <c r="G37" s="7"/>
      <c r="H37" s="3"/>
      <c r="I37" s="3"/>
      <c r="J37" s="3"/>
      <c r="K37" s="3"/>
      <c r="L37" s="3"/>
      <c r="M37" s="329" cm="1">
        <f t="array" ref="M37">[1]!CIP1072P265F2600</f>
        <v>0</v>
      </c>
      <c r="N37" s="253">
        <f t="shared" si="4"/>
        <v>0</v>
      </c>
      <c r="O37" s="350" t="str">
        <f t="shared" si="5"/>
        <v xml:space="preserve"> </v>
      </c>
      <c r="P37" s="252">
        <v>18</v>
      </c>
    </row>
    <row r="38" spans="1:16">
      <c r="A38" s="57"/>
      <c r="C38" t="s">
        <v>330</v>
      </c>
      <c r="E38" s="254">
        <v>19</v>
      </c>
      <c r="F38" s="346" cm="1">
        <f t="array" ref="F38">[1]!CIP1072P265F2900PPL</f>
        <v>0</v>
      </c>
      <c r="G38" s="8"/>
      <c r="H38" s="2"/>
      <c r="I38" s="2"/>
      <c r="J38" s="2"/>
      <c r="K38" s="2"/>
      <c r="L38" s="2"/>
      <c r="M38" s="329" cm="1">
        <f t="array" ref="M38">[1]!CIP1072P265F2900</f>
        <v>0</v>
      </c>
      <c r="N38" s="253">
        <f t="shared" si="4"/>
        <v>0</v>
      </c>
      <c r="O38" s="350" t="str">
        <f t="shared" si="5"/>
        <v xml:space="preserve"> </v>
      </c>
      <c r="P38" s="252">
        <v>19</v>
      </c>
    </row>
    <row r="39" spans="1:16">
      <c r="A39" s="74"/>
      <c r="B39" s="146" t="s">
        <v>334</v>
      </c>
      <c r="C39" s="146"/>
      <c r="D39" s="146"/>
      <c r="E39" s="256">
        <v>20</v>
      </c>
      <c r="F39" s="344">
        <f>SUM(F29:F38)</f>
        <v>0</v>
      </c>
      <c r="G39" s="346">
        <f t="shared" ref="G39:L39" si="6">SUM(G28:G38)</f>
        <v>0</v>
      </c>
      <c r="H39" s="246">
        <f t="shared" si="6"/>
        <v>0</v>
      </c>
      <c r="I39" s="246">
        <f t="shared" si="6"/>
        <v>0</v>
      </c>
      <c r="J39" s="246">
        <f t="shared" si="6"/>
        <v>0</v>
      </c>
      <c r="K39" s="246">
        <f t="shared" si="6"/>
        <v>0</v>
      </c>
      <c r="L39" s="246">
        <f t="shared" si="6"/>
        <v>0</v>
      </c>
      <c r="M39" s="257">
        <f>SUM(M29:M38)</f>
        <v>0</v>
      </c>
      <c r="N39" s="257">
        <f>SUM(N29:N38)</f>
        <v>0</v>
      </c>
      <c r="O39" s="351" t="str">
        <f t="shared" si="5"/>
        <v xml:space="preserve"> </v>
      </c>
      <c r="P39" s="250">
        <v>20</v>
      </c>
    </row>
    <row r="40" spans="1:16">
      <c r="A40" s="57"/>
      <c r="B40" t="s">
        <v>348</v>
      </c>
      <c r="E40" s="103"/>
      <c r="F40" s="245"/>
      <c r="G40" s="343"/>
      <c r="H40" s="242"/>
      <c r="I40" s="242"/>
      <c r="J40" s="242"/>
      <c r="K40" s="242"/>
      <c r="L40" s="243"/>
      <c r="M40" s="245"/>
      <c r="N40" s="245"/>
      <c r="O40" s="245"/>
      <c r="P40" s="250"/>
    </row>
    <row r="41" spans="1:16">
      <c r="A41" s="57"/>
      <c r="C41" t="s">
        <v>296</v>
      </c>
      <c r="E41" s="103"/>
      <c r="F41" s="344"/>
      <c r="G41" s="345"/>
      <c r="H41" s="257"/>
      <c r="I41" s="257"/>
      <c r="J41" s="257"/>
      <c r="K41" s="257"/>
      <c r="L41" s="248"/>
      <c r="M41" s="257"/>
      <c r="N41" s="257"/>
      <c r="O41" s="249"/>
      <c r="P41" s="250"/>
    </row>
    <row r="42" spans="1:16">
      <c r="A42" s="57"/>
      <c r="C42" t="s">
        <v>333</v>
      </c>
      <c r="E42" s="103">
        <v>21</v>
      </c>
      <c r="F42" s="346" cm="1">
        <f t="array" ref="F42">[1]!CIP1072P435F2700PPL</f>
        <v>0</v>
      </c>
      <c r="G42" s="18"/>
      <c r="H42" s="2"/>
      <c r="I42" s="2"/>
      <c r="J42" s="2"/>
      <c r="K42" s="2"/>
      <c r="L42" s="17"/>
      <c r="M42" s="246" cm="1">
        <f t="array" ref="M42">[1]!CIP1072P435F2700</f>
        <v>0</v>
      </c>
      <c r="N42" s="246">
        <f>SUM(H40:L42)</f>
        <v>0</v>
      </c>
      <c r="O42" s="251" t="str">
        <f>IF(M42=0," ",(N42-M42)/M42)</f>
        <v xml:space="preserve"> </v>
      </c>
      <c r="P42" s="250">
        <v>21</v>
      </c>
    </row>
    <row r="43" spans="1:16">
      <c r="A43" s="80" t="s">
        <v>293</v>
      </c>
      <c r="B43" s="266"/>
      <c r="C43" s="266"/>
      <c r="D43" s="266"/>
      <c r="E43" s="327">
        <v>22</v>
      </c>
      <c r="F43" s="346">
        <f>SUM(F39:F42)</f>
        <v>0</v>
      </c>
      <c r="G43" s="346">
        <f t="shared" ref="G43:L43" si="7">SUM(G39:G42)</f>
        <v>0</v>
      </c>
      <c r="H43" s="253">
        <f t="shared" si="7"/>
        <v>0</v>
      </c>
      <c r="I43" s="253">
        <f t="shared" si="7"/>
        <v>0</v>
      </c>
      <c r="J43" s="253">
        <f t="shared" si="7"/>
        <v>0</v>
      </c>
      <c r="K43" s="253">
        <f t="shared" si="7"/>
        <v>0</v>
      </c>
      <c r="L43" s="253">
        <f t="shared" si="7"/>
        <v>0</v>
      </c>
      <c r="M43" s="246">
        <f>SUM(M39:M42)</f>
        <v>0</v>
      </c>
      <c r="N43" s="246">
        <f>SUM(N39:N42)</f>
        <v>0</v>
      </c>
      <c r="O43" s="251" t="str">
        <f>IF(M43=0," ",(N43-M43)/M43)</f>
        <v xml:space="preserve"> </v>
      </c>
      <c r="P43" s="25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H21" sqref="H21:L33"/>
    </sheetView>
  </sheetViews>
  <sheetFormatPr defaultColWidth="9" defaultRowHeight="12.75"/>
  <cols>
    <col min="1" max="2" width="1.5703125" style="142" customWidth="1"/>
    <col min="3" max="3" width="42" style="142" customWidth="1"/>
    <col min="4" max="5" width="12.5703125" style="142" customWidth="1"/>
    <col min="6" max="6" width="9.5703125" style="142" customWidth="1"/>
    <col min="7" max="7" width="4.5703125" style="142" customWidth="1"/>
    <col min="8" max="8" width="27.140625" style="142" customWidth="1"/>
    <col min="9" max="9" width="5.140625" style="142" customWidth="1"/>
    <col min="10" max="10" width="12.5703125" style="142" customWidth="1"/>
    <col min="11" max="11" width="13.5703125" style="142" customWidth="1"/>
    <col min="12" max="12" width="12.5703125" style="142" customWidth="1"/>
    <col min="13" max="13" width="9.5703125" style="142" customWidth="1"/>
    <col min="14" max="15" width="9" style="142" customWidth="1"/>
    <col min="16" max="16384" width="9" style="142"/>
  </cols>
  <sheetData>
    <row r="1" spans="1:13" ht="23.25" customHeight="1">
      <c r="A1" s="447" t="str">
        <f>IF(OR(BudgetVersion="Proposed",BudgetVersion=""),"FY 2024 Summary of charter school proposed budget",IF(BudgetVersion="Adopted","FY 2023 Summary of charter school adopted budget","FY 2023 Summary of charter school revised budget"))</f>
        <v>FY 2023 Summary of charter school revised budget</v>
      </c>
      <c r="B1" s="447"/>
      <c r="C1" s="447"/>
      <c r="D1" s="447"/>
      <c r="E1" s="447"/>
      <c r="F1" s="447"/>
      <c r="G1" s="447"/>
      <c r="H1" s="447"/>
      <c r="I1" s="447"/>
      <c r="J1" s="447"/>
      <c r="K1" s="43" t="s">
        <v>221</v>
      </c>
      <c r="L1" s="354" t="str">
        <f>CTD</f>
        <v>108714000</v>
      </c>
    </row>
    <row r="2" spans="1:13" ht="3.75" customHeight="1"/>
    <row r="3" spans="1:13" ht="12" customHeight="1">
      <c r="A3" s="332" t="s">
        <v>7</v>
      </c>
      <c r="B3" s="355"/>
      <c r="C3" s="355"/>
      <c r="D3" s="528" t="s">
        <v>27</v>
      </c>
      <c r="E3" s="529"/>
      <c r="F3" s="356" t="s">
        <v>29</v>
      </c>
      <c r="H3" s="519" t="str">
        <f>CONCATENATE("The budget of ",IF(Cover!$D$3=0,Cover!$D$1,(CONCATENATE(Cover!$D$1," (d.b.a. ",Cover!$D$3,")")))," for fiscal year 2024 was officially proposed by the Governing Board on ",TEXT(Cover!$F$20,"mmmm dd, yyyy"),". The complete budget may be reviewed by contacting ",Cover!$O$15," at ",Cover!$M$16," or ",Cover!$P$16,".")</f>
        <v>The budget of Tucson International Academy for fiscal year 2024 was officially proposed by the Governing Board on June 22, 2023. The complete budget may be reviewed by contacting Jennifer Herrera at 5207923255 or jherrera@tiak12.com.</v>
      </c>
      <c r="I3" s="520"/>
      <c r="J3" s="520"/>
      <c r="K3" s="520"/>
      <c r="L3" s="520"/>
      <c r="M3" s="521"/>
    </row>
    <row r="4" spans="1:13" ht="12" customHeight="1">
      <c r="A4" s="357"/>
      <c r="D4" s="317" t="s">
        <v>229</v>
      </c>
      <c r="E4" s="317" t="s">
        <v>230</v>
      </c>
      <c r="F4" s="358" t="s">
        <v>30</v>
      </c>
      <c r="H4" s="522"/>
      <c r="I4" s="523"/>
      <c r="J4" s="523"/>
      <c r="K4" s="523"/>
      <c r="L4" s="523"/>
      <c r="M4" s="524"/>
    </row>
    <row r="5" spans="1:13" ht="12" customHeight="1">
      <c r="A5" s="357" t="s">
        <v>295</v>
      </c>
      <c r="D5" s="241">
        <v>2023</v>
      </c>
      <c r="E5" s="241">
        <v>2024</v>
      </c>
      <c r="F5" s="359" t="s">
        <v>312</v>
      </c>
      <c r="H5" s="522"/>
      <c r="I5" s="523"/>
      <c r="J5" s="523"/>
      <c r="K5" s="523"/>
      <c r="L5" s="523"/>
      <c r="M5" s="524"/>
    </row>
    <row r="6" spans="1:13" ht="12" customHeight="1">
      <c r="A6" s="357"/>
      <c r="B6" s="142" t="s">
        <v>14</v>
      </c>
      <c r="D6" s="360">
        <f>SP1000P100F1000CY</f>
        <v>1369529</v>
      </c>
      <c r="E6" s="360">
        <f>SP1000P100F1000</f>
        <v>1240581</v>
      </c>
      <c r="F6" s="361">
        <f>IF(D6=0," ",(E6-D6)/D6)</f>
        <v>-9.4E-2</v>
      </c>
      <c r="H6" s="522"/>
      <c r="I6" s="523"/>
      <c r="J6" s="523"/>
      <c r="K6" s="523"/>
      <c r="L6" s="523"/>
      <c r="M6" s="524"/>
    </row>
    <row r="7" spans="1:13" ht="12" customHeight="1">
      <c r="A7" s="357"/>
      <c r="B7" s="142" t="s">
        <v>296</v>
      </c>
      <c r="D7" s="362"/>
      <c r="E7" s="363"/>
      <c r="F7" s="362"/>
      <c r="H7" s="525"/>
      <c r="I7" s="526"/>
      <c r="J7" s="526"/>
      <c r="K7" s="526"/>
      <c r="L7" s="526"/>
      <c r="M7" s="527"/>
    </row>
    <row r="8" spans="1:13" ht="12" customHeight="1">
      <c r="A8" s="357"/>
      <c r="C8" s="142" t="s">
        <v>77</v>
      </c>
      <c r="D8" s="360">
        <f>SP1000P100F2100CY</f>
        <v>139003</v>
      </c>
      <c r="E8" s="364">
        <f>SP1000P100F2100</f>
        <v>159327</v>
      </c>
      <c r="F8" s="251">
        <f>IF(D8=0," ",(E8-D8)/D8)</f>
        <v>0.14599999999999999</v>
      </c>
      <c r="H8" s="365"/>
      <c r="I8" s="365"/>
      <c r="J8" s="365"/>
      <c r="K8" s="365"/>
    </row>
    <row r="9" spans="1:13" ht="12" customHeight="1">
      <c r="A9" s="357"/>
      <c r="C9" s="142" t="s">
        <v>78</v>
      </c>
      <c r="D9" s="366">
        <f>SP1000P100F2200CY</f>
        <v>92049</v>
      </c>
      <c r="E9" s="366">
        <f>SP1000P100F2200</f>
        <v>93022</v>
      </c>
      <c r="F9" s="249">
        <f>IF(D9=0," ",(E9-D9)/D9)</f>
        <v>1.0999999999999999E-2</v>
      </c>
      <c r="H9" s="363"/>
      <c r="I9" s="355"/>
      <c r="J9" s="367"/>
      <c r="K9" s="530" t="s">
        <v>27</v>
      </c>
      <c r="L9" s="531"/>
      <c r="M9" s="356" t="s">
        <v>29</v>
      </c>
    </row>
    <row r="10" spans="1:13" ht="12" customHeight="1">
      <c r="A10" s="357"/>
      <c r="C10" s="142" t="s">
        <v>335</v>
      </c>
      <c r="D10" s="366">
        <f>SP1000P100F2300CY</f>
        <v>33000</v>
      </c>
      <c r="E10" s="366">
        <f>SP1000P100F2300</f>
        <v>4000</v>
      </c>
      <c r="F10" s="361">
        <f t="shared" ref="F10:F21" si="0">IF(D10=0," ",(E10-D10)/D10)</f>
        <v>-0.879</v>
      </c>
      <c r="H10" s="368" t="s">
        <v>193</v>
      </c>
      <c r="I10" s="369"/>
      <c r="J10" s="370"/>
      <c r="K10" s="317" t="s">
        <v>229</v>
      </c>
      <c r="L10" s="317" t="s">
        <v>230</v>
      </c>
      <c r="M10" s="358" t="s">
        <v>30</v>
      </c>
    </row>
    <row r="11" spans="1:13" ht="12" customHeight="1">
      <c r="A11" s="357"/>
      <c r="C11" s="142" t="s">
        <v>336</v>
      </c>
      <c r="D11" s="366">
        <f>SP1000P100F2400CY</f>
        <v>792372</v>
      </c>
      <c r="E11" s="366">
        <f>SP1000P100F2400</f>
        <v>913734</v>
      </c>
      <c r="F11" s="361">
        <f t="shared" si="0"/>
        <v>0.153</v>
      </c>
      <c r="H11" s="371"/>
      <c r="I11" s="372"/>
      <c r="J11" s="373"/>
      <c r="K11" s="241">
        <v>2023</v>
      </c>
      <c r="L11" s="241">
        <v>2024</v>
      </c>
      <c r="M11" s="359" t="s">
        <v>312</v>
      </c>
    </row>
    <row r="12" spans="1:13" ht="12" customHeight="1">
      <c r="A12" s="357"/>
      <c r="C12" s="142" t="s">
        <v>337</v>
      </c>
      <c r="D12" s="366">
        <f>SP1000P100F2500CY</f>
        <v>533213</v>
      </c>
      <c r="E12" s="366">
        <f>SP1000P100F2500</f>
        <v>348655</v>
      </c>
      <c r="F12" s="361">
        <f t="shared" si="0"/>
        <v>-0.34599999999999997</v>
      </c>
      <c r="H12" s="88" t="s">
        <v>234</v>
      </c>
      <c r="I12" s="43"/>
      <c r="J12" s="98"/>
      <c r="K12" s="360">
        <f>'Page 2'!M5</f>
        <v>383436</v>
      </c>
      <c r="L12" s="360">
        <f>'Page 2'!N5</f>
        <v>383436</v>
      </c>
      <c r="M12" s="361">
        <f t="shared" ref="M12:M19" si="1">IF(K12=0," ",(L12-K12)/K12)</f>
        <v>0</v>
      </c>
    </row>
    <row r="13" spans="1:13" ht="12" customHeight="1">
      <c r="A13" s="357"/>
      <c r="C13" s="142" t="s">
        <v>338</v>
      </c>
      <c r="D13" s="366">
        <f>SP1000P100F2600CY</f>
        <v>573209</v>
      </c>
      <c r="E13" s="366">
        <f>SP1000P100F2600</f>
        <v>1284399</v>
      </c>
      <c r="F13" s="361">
        <f t="shared" si="0"/>
        <v>1.2410000000000001</v>
      </c>
      <c r="H13" s="88" t="s">
        <v>231</v>
      </c>
      <c r="I13" s="43"/>
      <c r="J13" s="98"/>
      <c r="K13" s="360">
        <f>P200GiftedEducationCY</f>
        <v>0</v>
      </c>
      <c r="L13" s="366">
        <f>P200GiftedEducation</f>
        <v>0</v>
      </c>
      <c r="M13" s="361" t="str">
        <f t="shared" si="1"/>
        <v xml:space="preserve"> </v>
      </c>
    </row>
    <row r="14" spans="1:13" ht="12" customHeight="1">
      <c r="A14" s="357"/>
      <c r="C14" s="142" t="s">
        <v>339</v>
      </c>
      <c r="D14" s="366">
        <f>SP1000P100F2900CY</f>
        <v>0</v>
      </c>
      <c r="E14" s="366">
        <f>SP1000P100F2900</f>
        <v>0</v>
      </c>
      <c r="F14" s="361" t="str">
        <f t="shared" si="0"/>
        <v xml:space="preserve"> </v>
      </c>
      <c r="H14" s="88" t="s">
        <v>313</v>
      </c>
      <c r="I14" s="43"/>
      <c r="J14" s="98"/>
      <c r="K14" s="360">
        <f>P200ELLIncrementalCostsCY</f>
        <v>0</v>
      </c>
      <c r="L14" s="366">
        <f>P200ELLIncrementalCosts</f>
        <v>0</v>
      </c>
      <c r="M14" s="361" t="str">
        <f t="shared" si="1"/>
        <v xml:space="preserve"> </v>
      </c>
    </row>
    <row r="15" spans="1:13" ht="12" customHeight="1">
      <c r="A15" s="357"/>
      <c r="B15" s="142" t="s">
        <v>302</v>
      </c>
      <c r="D15" s="366">
        <f>SP1000P100F3000CY</f>
        <v>363096</v>
      </c>
      <c r="E15" s="366">
        <f>SP1000P100F3000</f>
        <v>286544</v>
      </c>
      <c r="F15" s="361">
        <f t="shared" si="0"/>
        <v>-0.21099999999999999</v>
      </c>
      <c r="H15" s="88" t="s">
        <v>314</v>
      </c>
      <c r="I15" s="43"/>
      <c r="J15" s="98"/>
      <c r="K15" s="366">
        <f>P200ELLCompensatoryInstructionCY</f>
        <v>0</v>
      </c>
      <c r="L15" s="366">
        <f>P200ELLCompensatoryInstruction</f>
        <v>0</v>
      </c>
      <c r="M15" s="361" t="str">
        <f t="shared" si="1"/>
        <v xml:space="preserve"> </v>
      </c>
    </row>
    <row r="16" spans="1:13" ht="12" customHeight="1">
      <c r="A16" s="357"/>
      <c r="B16" s="142" t="s">
        <v>303</v>
      </c>
      <c r="D16" s="366">
        <f>SP1000P100F4000CY</f>
        <v>0</v>
      </c>
      <c r="E16" s="366">
        <f>SP1000P100F4000</f>
        <v>0</v>
      </c>
      <c r="F16" s="361" t="str">
        <f t="shared" si="0"/>
        <v xml:space="preserve"> </v>
      </c>
      <c r="H16" s="88" t="s">
        <v>232</v>
      </c>
      <c r="I16" s="43"/>
      <c r="J16" s="98"/>
      <c r="K16" s="366">
        <f>P200RemedialEducationCY</f>
        <v>0</v>
      </c>
      <c r="L16" s="366">
        <f>P200RemedialEducation</f>
        <v>0</v>
      </c>
      <c r="M16" s="361" t="str">
        <f t="shared" si="1"/>
        <v xml:space="preserve"> </v>
      </c>
    </row>
    <row r="17" spans="1:13" ht="12" customHeight="1">
      <c r="A17" s="357"/>
      <c r="B17" s="142" t="s">
        <v>304</v>
      </c>
      <c r="D17" s="366">
        <f>SP1000P100F5000CY</f>
        <v>0</v>
      </c>
      <c r="E17" s="366">
        <f>SP1000P100F5000</f>
        <v>0</v>
      </c>
      <c r="F17" s="361" t="str">
        <f t="shared" si="0"/>
        <v xml:space="preserve"> </v>
      </c>
      <c r="H17" s="88" t="s">
        <v>315</v>
      </c>
      <c r="I17" s="43"/>
      <c r="J17" s="98"/>
      <c r="K17" s="366">
        <f>P200VocationalandTechnologicalEdCY</f>
        <v>0</v>
      </c>
      <c r="L17" s="366">
        <f>P200VocationalandTechnologicalEd</f>
        <v>0</v>
      </c>
      <c r="M17" s="361" t="str">
        <f t="shared" si="1"/>
        <v xml:space="preserve"> </v>
      </c>
    </row>
    <row r="18" spans="1:13" ht="12" customHeight="1">
      <c r="A18" s="357" t="s">
        <v>305</v>
      </c>
      <c r="D18" s="366">
        <f>SP1000P610CY</f>
        <v>0</v>
      </c>
      <c r="E18" s="366">
        <f>SP1000P610</f>
        <v>0</v>
      </c>
      <c r="F18" s="361" t="str">
        <f t="shared" si="0"/>
        <v xml:space="preserve"> </v>
      </c>
      <c r="H18" s="88" t="s">
        <v>233</v>
      </c>
      <c r="I18" s="43"/>
      <c r="J18" s="98"/>
      <c r="K18" s="374">
        <f>P200CareerEducationCY</f>
        <v>0</v>
      </c>
      <c r="L18" s="374">
        <f>P200CareerEducation</f>
        <v>0</v>
      </c>
      <c r="M18" s="361" t="str">
        <f t="shared" si="1"/>
        <v xml:space="preserve"> </v>
      </c>
    </row>
    <row r="19" spans="1:13" ht="12" customHeight="1">
      <c r="A19" s="357" t="s">
        <v>306</v>
      </c>
      <c r="D19" s="366">
        <f>SP1000P620CY</f>
        <v>4100</v>
      </c>
      <c r="E19" s="366">
        <f>SP1000P620</f>
        <v>0</v>
      </c>
      <c r="F19" s="361">
        <f t="shared" si="0"/>
        <v>-1</v>
      </c>
      <c r="H19" s="532" t="s">
        <v>80</v>
      </c>
      <c r="I19" s="491"/>
      <c r="J19" s="491"/>
      <c r="K19" s="366">
        <f>SUM(K12:K18)</f>
        <v>383436</v>
      </c>
      <c r="L19" s="366">
        <f>SUM(L12:L18)</f>
        <v>383436</v>
      </c>
      <c r="M19" s="259">
        <f t="shared" si="1"/>
        <v>0</v>
      </c>
    </row>
    <row r="20" spans="1:13" ht="12" customHeight="1">
      <c r="A20" s="357" t="s">
        <v>307</v>
      </c>
      <c r="D20" s="366">
        <f>SP1000P630700800900CY</f>
        <v>30647</v>
      </c>
      <c r="E20" s="366">
        <f>SP1000P630700800900</f>
        <v>71424</v>
      </c>
      <c r="F20" s="361">
        <f t="shared" si="0"/>
        <v>1.331</v>
      </c>
      <c r="H20" s="375"/>
      <c r="I20" s="375"/>
      <c r="K20" s="376"/>
      <c r="L20" s="376"/>
      <c r="M20" s="261"/>
    </row>
    <row r="21" spans="1:13" ht="12" customHeight="1">
      <c r="A21" s="377"/>
      <c r="B21" s="378" t="s">
        <v>340</v>
      </c>
      <c r="C21" s="373"/>
      <c r="D21" s="366">
        <f>SUM(D6:D20)</f>
        <v>3930218</v>
      </c>
      <c r="E21" s="366">
        <f>SUM(E6:E20)</f>
        <v>4401686</v>
      </c>
      <c r="F21" s="361">
        <f t="shared" si="0"/>
        <v>0.12</v>
      </c>
      <c r="H21" s="515" t="s">
        <v>194</v>
      </c>
      <c r="I21" s="516"/>
      <c r="J21" s="516"/>
      <c r="K21" s="516"/>
      <c r="L21" s="517"/>
      <c r="M21" s="261"/>
    </row>
    <row r="22" spans="1:13" ht="12" customHeight="1">
      <c r="A22" s="357" t="s">
        <v>308</v>
      </c>
      <c r="D22" s="362"/>
      <c r="E22" s="363"/>
      <c r="F22" s="362"/>
      <c r="H22" s="357"/>
      <c r="J22" s="503" t="s">
        <v>27</v>
      </c>
      <c r="K22" s="504"/>
      <c r="L22" s="358" t="s">
        <v>29</v>
      </c>
      <c r="M22" s="261"/>
    </row>
    <row r="23" spans="1:13" ht="12" customHeight="1">
      <c r="A23" s="357"/>
      <c r="B23" s="142" t="s">
        <v>14</v>
      </c>
      <c r="D23" s="379">
        <f>SP1000P200F1000CY</f>
        <v>127990</v>
      </c>
      <c r="E23" s="380">
        <f>SP1000P200F1000</f>
        <v>122712</v>
      </c>
      <c r="F23" s="251">
        <f>IF(D23=0," ",(E23-D23)/D23)</f>
        <v>-4.1000000000000002E-2</v>
      </c>
      <c r="H23" s="357"/>
      <c r="J23" s="317" t="s">
        <v>229</v>
      </c>
      <c r="K23" s="317" t="s">
        <v>230</v>
      </c>
      <c r="L23" s="358" t="s">
        <v>30</v>
      </c>
      <c r="M23" s="261"/>
    </row>
    <row r="24" spans="1:13" ht="12" customHeight="1">
      <c r="A24" s="357"/>
      <c r="B24" s="142" t="s">
        <v>296</v>
      </c>
      <c r="D24" s="362"/>
      <c r="E24" s="362"/>
      <c r="F24" s="249"/>
      <c r="H24" s="381"/>
      <c r="J24" s="241">
        <v>2023</v>
      </c>
      <c r="K24" s="241">
        <v>2024</v>
      </c>
      <c r="L24" s="359" t="s">
        <v>312</v>
      </c>
      <c r="M24" s="261"/>
    </row>
    <row r="25" spans="1:13" ht="12" customHeight="1">
      <c r="A25" s="357"/>
      <c r="C25" s="142" t="s">
        <v>77</v>
      </c>
      <c r="D25" s="360">
        <f>SP1000P200F2100CY</f>
        <v>218552</v>
      </c>
      <c r="E25" s="360">
        <f>SP1000P200F2100</f>
        <v>226241</v>
      </c>
      <c r="F25" s="251">
        <f t="shared" ref="F25:F41" si="2">IF(D25=0," ",(E25-D25)/D25)</f>
        <v>3.5000000000000003E-2</v>
      </c>
      <c r="H25" s="382" t="s">
        <v>81</v>
      </c>
      <c r="I25" s="383"/>
      <c r="J25" s="360">
        <f>SP1000TotalCY</f>
        <v>4375538</v>
      </c>
      <c r="K25" s="360">
        <f>SP1000Total</f>
        <v>4843126</v>
      </c>
      <c r="L25" s="259">
        <f>IF(J25=0," ",(K25-J25)/J25)</f>
        <v>0.107</v>
      </c>
      <c r="M25" s="261"/>
    </row>
    <row r="26" spans="1:13" ht="12" customHeight="1">
      <c r="A26" s="357"/>
      <c r="C26" s="142" t="s">
        <v>78</v>
      </c>
      <c r="D26" s="360">
        <f>SP1000P200F2200CY</f>
        <v>36894</v>
      </c>
      <c r="E26" s="360">
        <f>SP1000P200F2200</f>
        <v>34483</v>
      </c>
      <c r="F26" s="249">
        <f t="shared" si="2"/>
        <v>-6.5000000000000002E-2</v>
      </c>
      <c r="H26" s="80" t="s">
        <v>90</v>
      </c>
      <c r="I26" s="383"/>
      <c r="J26" s="366">
        <f>SP1000ClassSiteProjCY</f>
        <v>308089</v>
      </c>
      <c r="K26" s="366">
        <f>SP1000ClassSiteProj</f>
        <v>255259</v>
      </c>
      <c r="L26" s="259">
        <f t="shared" ref="L26:L33" si="3">IF(J26=0," ",(K26-J26)/J26)</f>
        <v>-0.17100000000000001</v>
      </c>
      <c r="M26" s="261"/>
    </row>
    <row r="27" spans="1:13" ht="12" customHeight="1">
      <c r="A27" s="357"/>
      <c r="C27" s="142" t="s">
        <v>335</v>
      </c>
      <c r="D27" s="360">
        <f>SP1000P200F2300CY</f>
        <v>0</v>
      </c>
      <c r="E27" s="360">
        <f>SP1000P200F2300</f>
        <v>0</v>
      </c>
      <c r="F27" s="361" t="str">
        <f t="shared" si="2"/>
        <v xml:space="preserve"> </v>
      </c>
      <c r="H27" s="80" t="s">
        <v>82</v>
      </c>
      <c r="I27" s="383"/>
      <c r="J27" s="366">
        <f>SP1000InstrImpProjCY</f>
        <v>19079</v>
      </c>
      <c r="K27" s="366">
        <f>SP1000InstrImpProj</f>
        <v>40286</v>
      </c>
      <c r="L27" s="259">
        <f t="shared" si="3"/>
        <v>1.1120000000000001</v>
      </c>
      <c r="M27" s="261"/>
    </row>
    <row r="28" spans="1:13" ht="12" customHeight="1">
      <c r="A28" s="357"/>
      <c r="C28" s="142" t="s">
        <v>336</v>
      </c>
      <c r="D28" s="360">
        <f>SP1000P200F2400CY</f>
        <v>0</v>
      </c>
      <c r="E28" s="360">
        <f>SP1000P200F2400</f>
        <v>0</v>
      </c>
      <c r="F28" s="361" t="str">
        <f t="shared" si="2"/>
        <v xml:space="preserve"> </v>
      </c>
      <c r="H28" s="80" t="s">
        <v>177</v>
      </c>
      <c r="I28" s="383"/>
      <c r="J28" s="366">
        <f>SP1000StruEngImmProjCY</f>
        <v>0</v>
      </c>
      <c r="K28" s="366">
        <f>SP1000StruEngImmProj</f>
        <v>0</v>
      </c>
      <c r="L28" s="259" t="str">
        <f t="shared" si="3"/>
        <v xml:space="preserve"> </v>
      </c>
      <c r="M28" s="261"/>
    </row>
    <row r="29" spans="1:13" ht="12" customHeight="1">
      <c r="A29" s="357"/>
      <c r="C29" s="142" t="s">
        <v>337</v>
      </c>
      <c r="D29" s="360">
        <f>SP1000P200F2500CY</f>
        <v>0</v>
      </c>
      <c r="E29" s="360">
        <f>SP1000P200F2500</f>
        <v>0</v>
      </c>
      <c r="F29" s="361" t="str">
        <f t="shared" si="2"/>
        <v xml:space="preserve"> </v>
      </c>
      <c r="H29" s="80" t="s">
        <v>59</v>
      </c>
      <c r="I29" s="383"/>
      <c r="J29" s="366">
        <f>SP1000CompInstrProjCY</f>
        <v>0</v>
      </c>
      <c r="K29" s="366">
        <f>SP1000CompInstrProj</f>
        <v>0</v>
      </c>
      <c r="L29" s="259" t="str">
        <f t="shared" si="3"/>
        <v xml:space="preserve"> </v>
      </c>
      <c r="M29" s="261"/>
    </row>
    <row r="30" spans="1:13" ht="12" customHeight="1">
      <c r="A30" s="357"/>
      <c r="C30" s="142" t="s">
        <v>338</v>
      </c>
      <c r="D30" s="360">
        <f>SP1000P200F2600CY</f>
        <v>0</v>
      </c>
      <c r="E30" s="360">
        <f>SP1000P200F2600</f>
        <v>0</v>
      </c>
      <c r="F30" s="361" t="str">
        <f t="shared" si="2"/>
        <v xml:space="preserve"> </v>
      </c>
      <c r="H30" s="80" t="s">
        <v>343</v>
      </c>
      <c r="I30" s="383"/>
      <c r="J30" s="366">
        <f>TotalFederalProjectsCY</f>
        <v>1855578</v>
      </c>
      <c r="K30" s="366">
        <f>TotalFederalProjects</f>
        <v>723687</v>
      </c>
      <c r="L30" s="259">
        <f t="shared" si="3"/>
        <v>-0.61</v>
      </c>
      <c r="M30" s="261"/>
    </row>
    <row r="31" spans="1:13" ht="12" customHeight="1">
      <c r="A31" s="357"/>
      <c r="C31" s="142" t="s">
        <v>339</v>
      </c>
      <c r="D31" s="360">
        <f>SP1000P200F2900CY</f>
        <v>0</v>
      </c>
      <c r="E31" s="360">
        <f>SP1000P200F2900</f>
        <v>0</v>
      </c>
      <c r="F31" s="361" t="str">
        <f t="shared" si="2"/>
        <v xml:space="preserve"> </v>
      </c>
      <c r="H31" s="80" t="s">
        <v>344</v>
      </c>
      <c r="I31" s="383"/>
      <c r="J31" s="366">
        <f>TotalStateProjectsCY</f>
        <v>0</v>
      </c>
      <c r="K31" s="366">
        <f>TotalStateProjects</f>
        <v>0</v>
      </c>
      <c r="L31" s="259" t="str">
        <f t="shared" si="3"/>
        <v xml:space="preserve"> </v>
      </c>
      <c r="M31" s="261"/>
    </row>
    <row r="32" spans="1:13" ht="12" customHeight="1">
      <c r="A32" s="357"/>
      <c r="B32" s="142" t="s">
        <v>302</v>
      </c>
      <c r="D32" s="360">
        <f>SP1000P200F3000CY</f>
        <v>0</v>
      </c>
      <c r="E32" s="360">
        <f>SP1000P200F3000</f>
        <v>0</v>
      </c>
      <c r="F32" s="361" t="str">
        <f t="shared" si="2"/>
        <v xml:space="preserve"> </v>
      </c>
      <c r="H32" s="80" t="s">
        <v>210</v>
      </c>
      <c r="I32" s="383"/>
      <c r="J32" s="366">
        <f>TotalCapitalAcquisitionsCY</f>
        <v>180952</v>
      </c>
      <c r="K32" s="366">
        <f>TotalCapitalAcquisitions</f>
        <v>77000</v>
      </c>
      <c r="L32" s="259">
        <f t="shared" si="3"/>
        <v>-0.57399999999999995</v>
      </c>
      <c r="M32" s="261"/>
    </row>
    <row r="33" spans="1:14" ht="12" customHeight="1">
      <c r="A33" s="357"/>
      <c r="B33" s="142" t="s">
        <v>303</v>
      </c>
      <c r="D33" s="360">
        <f>SP1000P200F4000CY</f>
        <v>0</v>
      </c>
      <c r="E33" s="360">
        <f>SP1000P200F4000</f>
        <v>0</v>
      </c>
      <c r="F33" s="361" t="str">
        <f t="shared" si="2"/>
        <v xml:space="preserve"> </v>
      </c>
      <c r="H33" s="80" t="s">
        <v>242</v>
      </c>
      <c r="I33" s="383"/>
      <c r="J33" s="366">
        <f>SUM(J25:J32)</f>
        <v>6739236</v>
      </c>
      <c r="K33" s="366">
        <f>SUM(K25:K32)</f>
        <v>5939358</v>
      </c>
      <c r="L33" s="259">
        <f t="shared" si="3"/>
        <v>-0.11899999999999999</v>
      </c>
    </row>
    <row r="34" spans="1:14" ht="12" customHeight="1">
      <c r="A34" s="357"/>
      <c r="B34" s="142" t="s">
        <v>304</v>
      </c>
      <c r="D34" s="360">
        <f>SP1000P200F5000CY</f>
        <v>0</v>
      </c>
      <c r="E34" s="360">
        <f>SP1000P200F5000</f>
        <v>0</v>
      </c>
      <c r="F34" s="361" t="str">
        <f t="shared" si="2"/>
        <v xml:space="preserve"> </v>
      </c>
    </row>
    <row r="35" spans="1:14" ht="12" customHeight="1">
      <c r="A35" s="357"/>
      <c r="B35" s="142" t="s">
        <v>341</v>
      </c>
      <c r="C35" s="370"/>
      <c r="D35" s="374">
        <f>SUM(D23:D34)</f>
        <v>383436</v>
      </c>
      <c r="E35" s="374">
        <f>SUM(E23:E34)</f>
        <v>383436</v>
      </c>
      <c r="F35" s="361">
        <f t="shared" si="2"/>
        <v>0</v>
      </c>
      <c r="H35" s="518" t="s">
        <v>196</v>
      </c>
      <c r="I35" s="518"/>
      <c r="J35" s="518"/>
      <c r="K35" s="518"/>
      <c r="L35" s="518"/>
      <c r="M35" s="505" t="str">
        <f>IF(L37&lt;1,"Enter average salary on the budget Cover","")</f>
        <v/>
      </c>
      <c r="N35" s="384"/>
    </row>
    <row r="36" spans="1:14" ht="0.75" customHeight="1">
      <c r="A36" s="377" t="s">
        <v>79</v>
      </c>
      <c r="B36" s="378"/>
      <c r="C36" s="373"/>
      <c r="D36" s="360"/>
      <c r="E36" s="360"/>
      <c r="F36" s="251"/>
      <c r="J36" s="385"/>
      <c r="K36" s="385"/>
      <c r="L36" s="385"/>
      <c r="M36" s="505"/>
      <c r="N36" s="384"/>
    </row>
    <row r="37" spans="1:14" ht="12" customHeight="1">
      <c r="A37" s="382" t="s">
        <v>309</v>
      </c>
      <c r="B37" s="383"/>
      <c r="C37" s="386"/>
      <c r="D37" s="366">
        <f>SP1000P400CY</f>
        <v>10000</v>
      </c>
      <c r="E37" s="366">
        <f>SP1000P400</f>
        <v>8500</v>
      </c>
      <c r="F37" s="259">
        <f t="shared" si="2"/>
        <v>-0.15</v>
      </c>
      <c r="H37" s="502" t="s">
        <v>493</v>
      </c>
      <c r="I37" s="502"/>
      <c r="J37" s="502"/>
      <c r="K37" s="502"/>
      <c r="L37" s="253">
        <f>BudgetYearSalary</f>
        <v>42569</v>
      </c>
      <c r="M37" s="505"/>
      <c r="N37" s="384"/>
    </row>
    <row r="38" spans="1:14" ht="12" customHeight="1">
      <c r="A38" s="382" t="s">
        <v>310</v>
      </c>
      <c r="B38" s="383"/>
      <c r="C38" s="386"/>
      <c r="D38" s="366">
        <f>SP1000P530CY</f>
        <v>0</v>
      </c>
      <c r="E38" s="366">
        <f>SP1000P530</f>
        <v>0</v>
      </c>
      <c r="F38" s="259" t="str">
        <f t="shared" si="2"/>
        <v xml:space="preserve"> </v>
      </c>
      <c r="H38" s="502" t="s">
        <v>494</v>
      </c>
      <c r="I38" s="502"/>
      <c r="J38" s="502"/>
      <c r="K38" s="502"/>
      <c r="L38" s="253">
        <f>PriorYearSalary</f>
        <v>43091</v>
      </c>
      <c r="M38" s="505"/>
      <c r="N38" s="384"/>
    </row>
    <row r="39" spans="1:14" ht="12" customHeight="1">
      <c r="A39" s="382" t="s">
        <v>342</v>
      </c>
      <c r="B39" s="383"/>
      <c r="C39" s="386"/>
      <c r="D39" s="366">
        <f>SP1000P540CY</f>
        <v>0</v>
      </c>
      <c r="E39" s="366">
        <f>SP1000P540</f>
        <v>0</v>
      </c>
      <c r="F39" s="259" t="str">
        <f t="shared" si="2"/>
        <v xml:space="preserve"> </v>
      </c>
      <c r="H39" s="502" t="s">
        <v>495</v>
      </c>
      <c r="I39" s="502"/>
      <c r="J39" s="502"/>
      <c r="K39" s="502"/>
      <c r="L39" s="253">
        <f>SalaryIncreaseFromPriorYear</f>
        <v>-522</v>
      </c>
      <c r="M39" s="505"/>
      <c r="N39" s="384"/>
    </row>
    <row r="40" spans="1:14" ht="12" customHeight="1">
      <c r="A40" s="377" t="s">
        <v>83</v>
      </c>
      <c r="B40" s="378"/>
      <c r="C40" s="373"/>
      <c r="D40" s="366">
        <f>SP1000P550CY</f>
        <v>51884</v>
      </c>
      <c r="E40" s="366">
        <f>SP1000P550</f>
        <v>49504</v>
      </c>
      <c r="F40" s="259">
        <f t="shared" si="2"/>
        <v>-4.5999999999999999E-2</v>
      </c>
      <c r="H40" s="502" t="s">
        <v>105</v>
      </c>
      <c r="I40" s="502"/>
      <c r="J40" s="502"/>
      <c r="K40" s="502"/>
      <c r="L40" s="350">
        <f>SalaryPercentageIncrease</f>
        <v>-1.2E-2</v>
      </c>
      <c r="M40" s="505"/>
      <c r="N40" s="384"/>
    </row>
    <row r="41" spans="1:14" ht="12" customHeight="1">
      <c r="A41" s="377"/>
      <c r="B41" s="378"/>
      <c r="C41" s="373" t="s">
        <v>80</v>
      </c>
      <c r="D41" s="360">
        <f>SUM(D35:D40)+D21</f>
        <v>4375538</v>
      </c>
      <c r="E41" s="360">
        <f>SUM(E35:E40)+E21</f>
        <v>4843126</v>
      </c>
      <c r="F41" s="259">
        <f t="shared" si="2"/>
        <v>0.107</v>
      </c>
      <c r="H41" s="506" t="str">
        <f>IF(AverageSalaryCalculationComment&lt;&gt;"",AverageSalaryCalculationComment,"")</f>
        <v>Comments on average salary calculation (optional):</v>
      </c>
      <c r="I41" s="507"/>
      <c r="J41" s="507"/>
      <c r="K41" s="507"/>
      <c r="L41" s="508"/>
      <c r="M41" s="505"/>
    </row>
    <row r="42" spans="1:14" ht="12" customHeight="1">
      <c r="D42" s="376"/>
      <c r="E42" s="376"/>
      <c r="F42" s="261"/>
      <c r="H42" s="509"/>
      <c r="I42" s="510"/>
      <c r="J42" s="510"/>
      <c r="K42" s="510"/>
      <c r="L42" s="511"/>
      <c r="M42" s="505"/>
    </row>
    <row r="43" spans="1:14" ht="12" customHeight="1">
      <c r="H43" s="509"/>
      <c r="I43" s="510"/>
      <c r="J43" s="510"/>
      <c r="K43" s="510"/>
      <c r="L43" s="511"/>
      <c r="M43" s="505"/>
    </row>
    <row r="44" spans="1:14" ht="12" customHeight="1">
      <c r="H44" s="509"/>
      <c r="I44" s="510"/>
      <c r="J44" s="510"/>
      <c r="K44" s="510"/>
      <c r="L44" s="511"/>
      <c r="M44" s="505"/>
    </row>
    <row r="45" spans="1:14" ht="12" customHeight="1">
      <c r="H45" s="509"/>
      <c r="I45" s="510"/>
      <c r="J45" s="510"/>
      <c r="K45" s="510"/>
      <c r="L45" s="511"/>
      <c r="M45" s="505"/>
    </row>
    <row r="46" spans="1:14" ht="12" customHeight="1">
      <c r="H46" s="509"/>
      <c r="I46" s="510"/>
      <c r="J46" s="510"/>
      <c r="K46" s="510"/>
      <c r="L46" s="511"/>
      <c r="M46" s="387"/>
    </row>
    <row r="47" spans="1:14" ht="12" customHeight="1">
      <c r="H47" s="512"/>
      <c r="I47" s="513"/>
      <c r="J47" s="513"/>
      <c r="K47" s="513"/>
      <c r="L47" s="514"/>
      <c r="M47" s="387"/>
    </row>
    <row r="48" spans="1:14" ht="12.75" customHeight="1"/>
    <row r="49" spans="8:8" ht="12.75" customHeight="1"/>
    <row r="50" spans="8:8" ht="12.75" customHeight="1"/>
    <row r="51" spans="8:8" ht="12.75" customHeight="1"/>
    <row r="52" spans="8:8" ht="12.75" customHeight="1"/>
    <row r="53" spans="8:8" ht="12.75" customHeight="1">
      <c r="H53" s="388"/>
    </row>
    <row r="54" spans="8:8" ht="12.75" customHeight="1"/>
    <row r="55" spans="8:8" ht="12.75" customHeight="1"/>
  </sheetData>
  <sheetProtection sheet="1" objects="1" scenarios="1"/>
  <mergeCells count="14">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printOptions horizontalCentered="1" verticalCentered="1"/>
  <pageMargins left="0.75" right="0.5" top="0.25" bottom="0.25" header="0" footer="0"/>
  <pageSetup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6" zoomScaleNormal="100" zoomScaleSheetLayoutView="100" workbookViewId="0">
      <selection activeCell="O29" sqref="O29"/>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182</v>
      </c>
      <c r="B1" s="389"/>
      <c r="C1" s="389"/>
      <c r="D1" s="389"/>
      <c r="E1" s="390" t="str">
        <f>CharterName</f>
        <v>Tucson International Academy</v>
      </c>
      <c r="F1" s="391"/>
      <c r="G1" s="43"/>
      <c r="I1" s="43"/>
      <c r="K1" s="34" t="s">
        <v>128</v>
      </c>
      <c r="L1" s="36" t="str">
        <f>Cover!M1</f>
        <v>Pima</v>
      </c>
      <c r="M1" s="35"/>
      <c r="N1" s="114"/>
      <c r="O1" s="34" t="s">
        <v>221</v>
      </c>
      <c r="P1" s="37" t="str">
        <f>CTD</f>
        <v>108714000</v>
      </c>
    </row>
    <row r="2" spans="1:29" ht="24.75" customHeight="1"/>
    <row r="4" spans="1:29" ht="15.75">
      <c r="A4" s="392" t="s">
        <v>246</v>
      </c>
      <c r="C4" s="201"/>
      <c r="D4" s="269"/>
      <c r="E4" s="102"/>
      <c r="F4" s="102"/>
      <c r="Q4" s="447"/>
      <c r="R4" s="447"/>
      <c r="S4" s="447"/>
      <c r="T4" s="447"/>
      <c r="U4" s="447"/>
      <c r="V4" s="447"/>
      <c r="W4" s="447"/>
      <c r="X4" s="447"/>
      <c r="Y4" s="447"/>
      <c r="Z4" s="447"/>
      <c r="AA4" s="447"/>
      <c r="AB4" s="447"/>
      <c r="AC4" s="447"/>
    </row>
    <row r="6" spans="1:29" s="165" customFormat="1" ht="114" customHeight="1">
      <c r="A6" s="393" t="str">
        <f>IF(B8="X","X",IF(B9="x","x",IF(B10="X","X",IF(B11="X","X",""))))</f>
        <v/>
      </c>
      <c r="B6" s="569" t="s">
        <v>393</v>
      </c>
      <c r="C6" s="569"/>
      <c r="D6" s="569"/>
      <c r="E6" s="569"/>
      <c r="F6" s="569"/>
      <c r="G6" s="569"/>
      <c r="H6" s="569"/>
      <c r="I6" s="569"/>
      <c r="J6" s="569"/>
      <c r="K6" s="569"/>
      <c r="L6" s="569"/>
      <c r="M6" s="569"/>
      <c r="N6" s="569"/>
      <c r="O6" s="394"/>
    </row>
    <row r="7" spans="1:29">
      <c r="J7" s="223"/>
      <c r="K7" s="223"/>
      <c r="L7" s="223"/>
      <c r="M7" s="518" t="s">
        <v>362</v>
      </c>
      <c r="N7" s="518"/>
    </row>
    <row r="8" spans="1:29" ht="38.25" customHeight="1">
      <c r="A8" s="269"/>
      <c r="B8" s="23"/>
      <c r="D8" s="543" t="s">
        <v>160</v>
      </c>
      <c r="E8" s="543"/>
      <c r="F8" s="543"/>
      <c r="G8" s="543"/>
      <c r="H8" s="543"/>
      <c r="I8" s="543"/>
      <c r="J8" s="567" t="str">
        <f>IF(B8&lt;&gt;"x","No additional information required","Please enter the name of the management company.")</f>
        <v>No additional information required</v>
      </c>
      <c r="K8" s="567"/>
      <c r="L8" s="567"/>
      <c r="M8" s="534"/>
      <c r="N8" s="534"/>
      <c r="O8" s="133"/>
      <c r="Q8" s="167" t="s">
        <v>162</v>
      </c>
    </row>
    <row r="9" spans="1:29" ht="39" customHeight="1" thickBot="1">
      <c r="A9" s="269"/>
      <c r="B9" s="24"/>
      <c r="D9" s="543" t="s">
        <v>253</v>
      </c>
      <c r="E9" s="543"/>
      <c r="F9" s="543"/>
      <c r="G9" s="543"/>
      <c r="H9" s="543"/>
      <c r="I9" s="543"/>
      <c r="J9" s="567" t="str">
        <f>IF(B9&lt;&gt;"x","No additional information required","Please enter the name of any other charter holder with identical membership.")</f>
        <v>No additional information required</v>
      </c>
      <c r="K9" s="567"/>
      <c r="L9" s="567"/>
      <c r="M9" s="534"/>
      <c r="N9" s="534"/>
      <c r="O9" s="133"/>
      <c r="Q9" s="167" t="s">
        <v>135</v>
      </c>
    </row>
    <row r="10" spans="1:29" ht="27.75" customHeight="1" thickBot="1">
      <c r="A10" s="269"/>
      <c r="B10" s="25"/>
      <c r="D10" s="543" t="s">
        <v>254</v>
      </c>
      <c r="E10" s="543"/>
      <c r="F10" s="543"/>
      <c r="G10" s="543"/>
      <c r="H10" s="543"/>
      <c r="I10" s="543"/>
      <c r="J10" s="567" t="str">
        <f>IF(B10&lt;&gt;"x","No additional information required","Please enter the name of the corporation.")</f>
        <v>No additional information required</v>
      </c>
      <c r="K10" s="567"/>
      <c r="L10" s="567"/>
      <c r="M10" s="534"/>
      <c r="N10" s="534"/>
      <c r="O10" s="133"/>
      <c r="Q10" s="167"/>
    </row>
    <row r="11" spans="1:29" ht="27.75" customHeight="1" thickBot="1">
      <c r="A11" s="269"/>
      <c r="B11" s="25"/>
      <c r="D11" s="547" t="s">
        <v>255</v>
      </c>
      <c r="E11" s="547"/>
      <c r="F11" s="547"/>
      <c r="G11" s="547"/>
      <c r="H11" s="547"/>
      <c r="I11" s="547"/>
      <c r="M11" s="114"/>
      <c r="N11" s="114"/>
      <c r="O11" s="114"/>
    </row>
    <row r="12" spans="1:29">
      <c r="A12" s="269"/>
      <c r="B12" s="269"/>
      <c r="C12" s="145"/>
      <c r="D12" s="145"/>
      <c r="E12" s="145"/>
      <c r="F12" s="145"/>
      <c r="G12" s="145"/>
      <c r="H12" s="145"/>
      <c r="I12" s="145"/>
      <c r="J12" s="145"/>
      <c r="K12" s="145"/>
      <c r="L12" s="145"/>
      <c r="M12" s="145"/>
      <c r="N12" s="145"/>
      <c r="O12" s="145"/>
    </row>
    <row r="13" spans="1:29">
      <c r="B13" s="102" t="s">
        <v>247</v>
      </c>
      <c r="C13" s="102"/>
      <c r="D13" s="102"/>
      <c r="E13" s="102"/>
    </row>
    <row r="14" spans="1:29" ht="80.25" customHeight="1">
      <c r="B14" s="569" t="s">
        <v>496</v>
      </c>
      <c r="C14" s="569"/>
      <c r="D14" s="569"/>
      <c r="E14" s="569"/>
      <c r="F14" s="569"/>
      <c r="G14" s="569"/>
      <c r="H14" s="569"/>
      <c r="I14" s="569"/>
      <c r="J14" s="569"/>
      <c r="K14" s="569"/>
      <c r="L14" s="569"/>
      <c r="M14" s="569"/>
      <c r="N14" s="569"/>
    </row>
    <row r="15" spans="1:29" ht="13.5" customHeight="1">
      <c r="B15" s="125"/>
      <c r="C15" s="125"/>
      <c r="D15" s="125"/>
      <c r="E15" s="125"/>
      <c r="F15" s="125"/>
      <c r="G15" s="125"/>
      <c r="H15" s="125"/>
      <c r="I15" s="125"/>
      <c r="J15" s="125"/>
      <c r="K15" s="125"/>
      <c r="L15" s="125"/>
      <c r="M15" s="125"/>
      <c r="N15" s="125"/>
    </row>
    <row r="16" spans="1:29">
      <c r="B16" s="555" t="s">
        <v>248</v>
      </c>
      <c r="C16" s="555"/>
      <c r="D16" s="555"/>
      <c r="E16" s="555"/>
      <c r="F16" s="482" t="s">
        <v>129</v>
      </c>
      <c r="G16" s="483"/>
      <c r="H16" s="482" t="s">
        <v>130</v>
      </c>
      <c r="I16" s="552"/>
      <c r="J16" s="483"/>
      <c r="K16" s="544" t="s">
        <v>131</v>
      </c>
      <c r="L16" s="545"/>
      <c r="M16" s="546"/>
    </row>
    <row r="17" spans="1:16">
      <c r="B17" s="560" t="s">
        <v>249</v>
      </c>
      <c r="C17" s="561"/>
      <c r="D17" s="561"/>
      <c r="E17" s="562"/>
      <c r="F17" s="565"/>
      <c r="G17" s="566"/>
      <c r="H17" s="395"/>
      <c r="I17" s="568">
        <v>288</v>
      </c>
      <c r="J17" s="566"/>
      <c r="K17" s="321"/>
      <c r="L17" s="568">
        <v>122</v>
      </c>
      <c r="M17" s="566"/>
      <c r="N17" s="223"/>
    </row>
    <row r="18" spans="1:16">
      <c r="B18" s="537" t="s">
        <v>250</v>
      </c>
      <c r="C18" s="538"/>
      <c r="D18" s="538"/>
      <c r="E18" s="539"/>
      <c r="F18" s="396"/>
      <c r="G18" s="397"/>
      <c r="H18" s="398" t="s">
        <v>136</v>
      </c>
      <c r="I18" s="563"/>
      <c r="J18" s="564"/>
      <c r="K18" s="118" t="s">
        <v>136</v>
      </c>
      <c r="L18" s="535"/>
      <c r="M18" s="536"/>
      <c r="N18" s="223"/>
    </row>
    <row r="19" spans="1:16">
      <c r="B19" s="537" t="s">
        <v>251</v>
      </c>
      <c r="C19" s="538"/>
      <c r="D19" s="538"/>
      <c r="E19" s="539"/>
      <c r="F19" s="396"/>
      <c r="G19" s="397"/>
      <c r="H19" s="398" t="s">
        <v>136</v>
      </c>
      <c r="I19" s="563"/>
      <c r="J19" s="564"/>
      <c r="K19" s="118" t="s">
        <v>136</v>
      </c>
      <c r="L19" s="535"/>
      <c r="M19" s="536"/>
    </row>
    <row r="20" spans="1:16">
      <c r="B20" s="540" t="s">
        <v>252</v>
      </c>
      <c r="C20" s="541"/>
      <c r="D20" s="541"/>
      <c r="E20" s="542"/>
      <c r="F20" s="80" t="s">
        <v>134</v>
      </c>
      <c r="G20" s="399">
        <f>F17</f>
        <v>0</v>
      </c>
      <c r="H20" s="74" t="s">
        <v>134</v>
      </c>
      <c r="I20" s="548">
        <f>I17+I18+I19</f>
        <v>288</v>
      </c>
      <c r="J20" s="549"/>
      <c r="K20" s="80" t="s">
        <v>134</v>
      </c>
      <c r="L20" s="548">
        <f>L17+L18+L19</f>
        <v>122</v>
      </c>
      <c r="M20" s="549"/>
    </row>
    <row r="22" spans="1:16">
      <c r="B22" s="102" t="s">
        <v>256</v>
      </c>
    </row>
    <row r="23" spans="1:16" ht="26.25" customHeight="1">
      <c r="B23" s="569" t="s">
        <v>257</v>
      </c>
      <c r="C23" s="569"/>
      <c r="D23" s="569"/>
      <c r="E23" s="569"/>
      <c r="F23" s="569"/>
      <c r="G23" s="569"/>
      <c r="H23" s="569"/>
      <c r="I23" s="569"/>
      <c r="J23" s="569"/>
      <c r="K23" s="569"/>
      <c r="L23" s="569"/>
      <c r="M23" s="569"/>
      <c r="N23" s="569"/>
    </row>
    <row r="24" spans="1:16">
      <c r="B24" s="400"/>
      <c r="C24" s="401"/>
      <c r="D24" s="401"/>
      <c r="E24" s="401"/>
      <c r="F24" s="401"/>
      <c r="G24" s="401"/>
      <c r="H24" s="401"/>
      <c r="I24" s="401"/>
      <c r="J24" s="401"/>
      <c r="K24" s="401"/>
      <c r="L24" s="401"/>
      <c r="M24" s="401"/>
    </row>
    <row r="25" spans="1:16">
      <c r="B25" s="226" t="s">
        <v>248</v>
      </c>
      <c r="C25" s="226"/>
      <c r="D25" s="226"/>
      <c r="E25" s="226"/>
      <c r="F25" s="482" t="s">
        <v>129</v>
      </c>
      <c r="G25" s="483"/>
      <c r="H25" s="482" t="s">
        <v>130</v>
      </c>
      <c r="I25" s="552"/>
      <c r="J25" s="483"/>
      <c r="K25" s="544" t="s">
        <v>131</v>
      </c>
      <c r="L25" s="545"/>
      <c r="M25" s="546"/>
    </row>
    <row r="26" spans="1:16">
      <c r="B26" s="74" t="s">
        <v>249</v>
      </c>
      <c r="C26" s="146"/>
      <c r="D26" s="320"/>
      <c r="F26" s="57"/>
      <c r="G26" s="30"/>
      <c r="I26" s="558"/>
      <c r="J26" s="559"/>
      <c r="K26" s="74"/>
      <c r="L26" s="558"/>
      <c r="M26" s="559"/>
      <c r="P26" s="43"/>
    </row>
    <row r="27" spans="1:16">
      <c r="B27" s="80" t="s">
        <v>250</v>
      </c>
      <c r="C27" s="266"/>
      <c r="D27" s="402"/>
      <c r="E27" s="403"/>
      <c r="F27" s="404"/>
      <c r="G27" s="405"/>
      <c r="H27" s="266" t="s">
        <v>136</v>
      </c>
      <c r="I27" s="563"/>
      <c r="J27" s="564"/>
      <c r="K27" s="80" t="s">
        <v>136</v>
      </c>
      <c r="L27" s="535"/>
      <c r="M27" s="536"/>
    </row>
    <row r="28" spans="1:16">
      <c r="B28" s="80" t="s">
        <v>251</v>
      </c>
      <c r="C28" s="266"/>
      <c r="D28" s="266"/>
      <c r="E28" s="406"/>
      <c r="F28" s="404"/>
      <c r="G28" s="405"/>
      <c r="H28" s="266" t="s">
        <v>136</v>
      </c>
      <c r="I28" s="563"/>
      <c r="J28" s="564"/>
      <c r="K28" s="80" t="s">
        <v>136</v>
      </c>
      <c r="L28" s="535"/>
      <c r="M28" s="536"/>
    </row>
    <row r="29" spans="1:16">
      <c r="B29" s="74" t="s">
        <v>252</v>
      </c>
      <c r="C29" s="146"/>
      <c r="D29" s="320"/>
      <c r="E29" s="74"/>
      <c r="F29" s="74" t="s">
        <v>134</v>
      </c>
      <c r="G29" s="399">
        <f>G26</f>
        <v>0</v>
      </c>
      <c r="H29" s="80" t="s">
        <v>134</v>
      </c>
      <c r="I29" s="548">
        <f>I26+I27+I28</f>
        <v>0</v>
      </c>
      <c r="J29" s="549"/>
      <c r="K29" s="80" t="s">
        <v>134</v>
      </c>
      <c r="L29" s="553">
        <f>L26+L27+L28</f>
        <v>0</v>
      </c>
      <c r="M29" s="554"/>
    </row>
    <row r="30" spans="1:16">
      <c r="B30" s="93"/>
    </row>
    <row r="31" spans="1:16">
      <c r="A31" s="407"/>
      <c r="B31" s="407"/>
      <c r="C31" s="408"/>
      <c r="D31" s="408"/>
      <c r="E31" s="409"/>
      <c r="F31" s="409"/>
      <c r="G31" s="408"/>
      <c r="H31" s="408"/>
      <c r="I31" s="410"/>
      <c r="K31" s="410"/>
    </row>
    <row r="32" spans="1:16" ht="15.75" customHeight="1">
      <c r="A32" s="411" t="s">
        <v>258</v>
      </c>
      <c r="C32" s="102"/>
      <c r="D32" s="102"/>
      <c r="E32" s="102"/>
      <c r="G32" s="412"/>
      <c r="H32" s="412"/>
      <c r="I32" s="412"/>
      <c r="J32" s="412"/>
      <c r="K32" s="412"/>
      <c r="L32" s="412"/>
      <c r="M32" s="412"/>
      <c r="N32" s="412"/>
      <c r="O32" s="412"/>
    </row>
    <row r="33" spans="1:21" ht="12.75" customHeight="1">
      <c r="A33" s="411"/>
      <c r="C33" s="102"/>
      <c r="D33" s="102"/>
      <c r="E33" s="102"/>
      <c r="G33" s="412"/>
      <c r="H33" s="412"/>
      <c r="I33" s="412"/>
      <c r="J33" s="412"/>
      <c r="K33" s="412"/>
      <c r="L33" s="412"/>
      <c r="M33" s="412"/>
      <c r="N33" s="412"/>
      <c r="O33" s="412"/>
    </row>
    <row r="34" spans="1:21" ht="12.75" customHeight="1">
      <c r="A34" s="411"/>
      <c r="B34" s="102" t="s">
        <v>259</v>
      </c>
      <c r="C34" s="102"/>
      <c r="D34" s="102"/>
      <c r="E34" s="102"/>
      <c r="G34" s="412"/>
      <c r="H34" s="412"/>
      <c r="I34" s="412"/>
      <c r="J34" s="412"/>
      <c r="K34" s="412"/>
      <c r="L34" s="412"/>
      <c r="M34" s="412"/>
      <c r="N34" s="412"/>
      <c r="O34" s="412"/>
    </row>
    <row r="35" spans="1:21" ht="137.25" customHeight="1">
      <c r="A35" s="102"/>
      <c r="B35" s="569" t="s">
        <v>453</v>
      </c>
      <c r="C35" s="569"/>
      <c r="D35" s="569"/>
      <c r="E35" s="569"/>
      <c r="F35" s="569"/>
      <c r="G35" s="569"/>
      <c r="H35" s="569"/>
      <c r="I35" s="569"/>
      <c r="J35" s="569"/>
      <c r="K35" s="569"/>
      <c r="L35" s="569"/>
      <c r="M35" s="569"/>
      <c r="N35" s="569"/>
      <c r="O35" s="412"/>
    </row>
    <row r="36" spans="1:21" ht="12.75" customHeight="1">
      <c r="A36" s="102"/>
      <c r="B36" s="228"/>
      <c r="C36" s="228"/>
      <c r="D36" s="228"/>
      <c r="E36" s="228"/>
      <c r="F36" s="228"/>
      <c r="G36" s="228"/>
      <c r="H36" s="228"/>
      <c r="I36" s="228"/>
      <c r="J36" s="228"/>
      <c r="K36" s="228"/>
      <c r="L36" s="228"/>
      <c r="M36" s="228"/>
      <c r="N36" s="228"/>
      <c r="O36" s="412"/>
    </row>
    <row r="37" spans="1:21" ht="51.75" customHeight="1">
      <c r="B37" s="413"/>
      <c r="C37" s="400"/>
      <c r="D37" s="400"/>
      <c r="E37" s="400"/>
      <c r="I37" s="414" t="s">
        <v>249</v>
      </c>
      <c r="J37" s="414" t="s">
        <v>260</v>
      </c>
      <c r="K37" s="550" t="s">
        <v>261</v>
      </c>
      <c r="L37" s="551"/>
      <c r="M37" s="415"/>
      <c r="O37" s="415"/>
      <c r="P37" s="415"/>
      <c r="R37" s="415"/>
      <c r="S37" s="415"/>
      <c r="U37" s="155"/>
    </row>
    <row r="38" spans="1:21">
      <c r="A38" s="103"/>
      <c r="B38" s="103">
        <v>1</v>
      </c>
      <c r="C38" s="165" t="s">
        <v>137</v>
      </c>
      <c r="I38" s="31">
        <v>100</v>
      </c>
      <c r="J38" s="32"/>
      <c r="K38" s="556"/>
      <c r="L38" s="557"/>
      <c r="M38" s="417"/>
      <c r="N38" s="120"/>
      <c r="O38" s="412"/>
      <c r="P38" s="417"/>
      <c r="R38" s="412"/>
      <c r="S38" s="417"/>
    </row>
    <row r="39" spans="1:21">
      <c r="A39" s="103"/>
      <c r="B39" s="103">
        <v>2</v>
      </c>
      <c r="C39" s="165" t="s">
        <v>138</v>
      </c>
      <c r="I39" s="31">
        <v>100</v>
      </c>
      <c r="J39" s="32"/>
      <c r="K39" s="556"/>
      <c r="L39" s="557"/>
      <c r="M39" s="417"/>
      <c r="N39" s="120"/>
      <c r="O39" s="412"/>
      <c r="P39" s="417"/>
      <c r="R39" s="412"/>
      <c r="S39" s="417"/>
    </row>
    <row r="40" spans="1:21">
      <c r="A40" s="103"/>
      <c r="B40" s="103">
        <v>3</v>
      </c>
      <c r="C40" s="165" t="s">
        <v>139</v>
      </c>
      <c r="I40" s="31">
        <v>40</v>
      </c>
      <c r="J40" s="32"/>
      <c r="K40" s="556"/>
      <c r="L40" s="557"/>
      <c r="M40" s="417"/>
      <c r="N40" s="120"/>
      <c r="O40" s="412"/>
      <c r="P40" s="417"/>
      <c r="R40" s="412"/>
      <c r="S40" s="417"/>
    </row>
    <row r="41" spans="1:21">
      <c r="A41" s="103"/>
      <c r="B41" s="103">
        <v>4</v>
      </c>
      <c r="C41" s="165" t="s">
        <v>140</v>
      </c>
      <c r="I41" s="31"/>
      <c r="J41" s="32"/>
      <c r="K41" s="556"/>
      <c r="L41" s="557"/>
      <c r="M41" s="417"/>
      <c r="N41" s="120"/>
      <c r="O41" s="412"/>
      <c r="P41" s="417"/>
      <c r="R41" s="412"/>
      <c r="S41" s="417"/>
    </row>
    <row r="42" spans="1:21">
      <c r="A42" s="103"/>
      <c r="B42" s="103">
        <v>5</v>
      </c>
      <c r="C42" s="165" t="s">
        <v>173</v>
      </c>
      <c r="I42" s="31">
        <v>5</v>
      </c>
      <c r="J42" s="32"/>
      <c r="K42" s="556"/>
      <c r="L42" s="557"/>
      <c r="M42" s="417"/>
      <c r="N42" s="120"/>
      <c r="O42" s="412"/>
      <c r="P42" s="417"/>
      <c r="R42" s="412"/>
      <c r="S42" s="417"/>
    </row>
    <row r="43" spans="1:21">
      <c r="A43" s="103"/>
      <c r="B43" s="103">
        <v>6</v>
      </c>
      <c r="C43" s="165" t="s">
        <v>174</v>
      </c>
      <c r="I43" s="31"/>
      <c r="J43" s="32"/>
      <c r="K43" s="556"/>
      <c r="L43" s="557"/>
      <c r="M43" s="417"/>
      <c r="N43" s="120"/>
      <c r="O43" s="412"/>
      <c r="P43" s="417"/>
      <c r="R43" s="412"/>
      <c r="S43" s="417"/>
    </row>
    <row r="44" spans="1:21">
      <c r="A44" s="103"/>
      <c r="B44" s="103">
        <v>7</v>
      </c>
      <c r="C44" s="165" t="s">
        <v>141</v>
      </c>
      <c r="I44" s="31"/>
      <c r="J44" s="32"/>
      <c r="K44" s="556"/>
      <c r="L44" s="557"/>
      <c r="M44" s="417"/>
      <c r="N44" s="120"/>
      <c r="O44" s="412"/>
      <c r="P44" s="417"/>
      <c r="R44" s="412"/>
      <c r="S44" s="417"/>
    </row>
    <row r="45" spans="1:21">
      <c r="A45" s="103"/>
      <c r="B45" s="103">
        <v>8</v>
      </c>
      <c r="C45" s="165" t="s">
        <v>142</v>
      </c>
      <c r="I45" s="31"/>
      <c r="J45" s="32"/>
      <c r="K45" s="556"/>
      <c r="L45" s="557"/>
      <c r="M45" s="417"/>
      <c r="N45" s="120"/>
      <c r="O45" s="412"/>
      <c r="P45" s="417"/>
      <c r="R45" s="412"/>
      <c r="S45" s="417"/>
    </row>
    <row r="46" spans="1:21">
      <c r="A46" s="103"/>
      <c r="B46" s="103">
        <v>9</v>
      </c>
      <c r="C46" s="165" t="s">
        <v>143</v>
      </c>
      <c r="I46" s="31"/>
      <c r="J46" s="32"/>
      <c r="K46" s="556"/>
      <c r="L46" s="557"/>
      <c r="M46" s="417"/>
      <c r="N46" s="120"/>
      <c r="O46" s="412"/>
      <c r="P46" s="417"/>
      <c r="R46" s="412"/>
      <c r="S46" s="417"/>
    </row>
    <row r="47" spans="1:21">
      <c r="A47" s="103"/>
      <c r="B47" s="103">
        <v>10</v>
      </c>
      <c r="C47" s="165" t="s">
        <v>144</v>
      </c>
      <c r="I47" s="31"/>
      <c r="J47" s="418"/>
      <c r="K47" s="570"/>
      <c r="L47" s="571"/>
      <c r="M47" s="417"/>
      <c r="N47" s="120"/>
      <c r="O47" s="412"/>
      <c r="P47" s="417"/>
      <c r="R47" s="412"/>
      <c r="S47" s="417"/>
    </row>
    <row r="48" spans="1:21">
      <c r="A48" s="103"/>
      <c r="B48" s="103">
        <v>11</v>
      </c>
      <c r="C48" s="165" t="s">
        <v>175</v>
      </c>
      <c r="I48" s="31">
        <v>75</v>
      </c>
      <c r="J48" s="32"/>
      <c r="K48" s="556"/>
      <c r="L48" s="557"/>
      <c r="M48" s="417"/>
      <c r="N48" s="120"/>
      <c r="O48" s="412"/>
      <c r="P48" s="417"/>
      <c r="R48" s="412"/>
      <c r="S48" s="417"/>
    </row>
    <row r="49" spans="1:19">
      <c r="A49" s="103"/>
      <c r="B49" s="103">
        <v>12</v>
      </c>
      <c r="C49" s="165" t="s">
        <v>145</v>
      </c>
      <c r="I49" s="31"/>
      <c r="J49" s="32"/>
      <c r="K49" s="556"/>
      <c r="L49" s="557"/>
      <c r="M49" s="417"/>
      <c r="N49" s="120"/>
      <c r="O49" s="412"/>
      <c r="P49" s="417"/>
      <c r="R49" s="412"/>
      <c r="S49" s="417"/>
    </row>
    <row r="50" spans="1:19">
      <c r="A50" s="103"/>
      <c r="B50" s="103">
        <v>13</v>
      </c>
      <c r="C50" s="165" t="s">
        <v>146</v>
      </c>
      <c r="I50" s="31"/>
      <c r="J50" s="32"/>
      <c r="K50" s="556"/>
      <c r="L50" s="557"/>
      <c r="M50" s="417"/>
      <c r="N50" s="120"/>
      <c r="O50" s="412"/>
      <c r="P50" s="417"/>
      <c r="R50" s="412"/>
      <c r="S50" s="417"/>
    </row>
    <row r="51" spans="1:19">
      <c r="A51" s="103"/>
      <c r="B51" s="103">
        <v>14</v>
      </c>
      <c r="C51" s="165" t="s">
        <v>147</v>
      </c>
      <c r="I51" s="31"/>
      <c r="J51" s="32"/>
      <c r="K51" s="556"/>
      <c r="L51" s="557"/>
      <c r="M51" s="417"/>
      <c r="N51" s="120"/>
      <c r="O51" s="412"/>
      <c r="P51" s="417"/>
      <c r="R51" s="412"/>
      <c r="S51" s="417"/>
    </row>
    <row r="52" spans="1:19">
      <c r="A52" s="103"/>
      <c r="B52" s="103">
        <v>15</v>
      </c>
      <c r="C52" s="419" t="s">
        <v>461</v>
      </c>
      <c r="D52" s="223"/>
      <c r="E52" s="223"/>
      <c r="I52" s="31"/>
      <c r="J52" s="32"/>
      <c r="K52" s="556"/>
      <c r="L52" s="557"/>
      <c r="M52" s="417"/>
      <c r="N52" s="120"/>
      <c r="O52" s="412"/>
      <c r="P52" s="417"/>
      <c r="R52" s="412"/>
      <c r="S52" s="417"/>
    </row>
    <row r="53" spans="1:19">
      <c r="A53" s="103"/>
      <c r="B53" s="103">
        <v>16</v>
      </c>
      <c r="C53" s="138" t="s">
        <v>466</v>
      </c>
      <c r="D53" s="138"/>
      <c r="E53" s="138"/>
      <c r="F53" s="138"/>
      <c r="G53" s="138"/>
      <c r="I53" s="31"/>
      <c r="J53" s="32"/>
      <c r="K53" s="556"/>
      <c r="L53" s="557"/>
      <c r="M53" s="417"/>
      <c r="N53" s="120"/>
      <c r="O53" s="120"/>
      <c r="P53" s="417"/>
      <c r="R53" s="417"/>
      <c r="S53" s="417"/>
    </row>
    <row r="54" spans="1:19">
      <c r="A54" s="103"/>
      <c r="B54" s="103">
        <v>17</v>
      </c>
      <c r="C54" t="s">
        <v>497</v>
      </c>
      <c r="D54" s="223"/>
      <c r="E54" s="223"/>
      <c r="I54" s="416">
        <f>SUM(I38:I53)</f>
        <v>320</v>
      </c>
      <c r="J54" s="420">
        <f>SUM(J38:J53)</f>
        <v>0</v>
      </c>
      <c r="K54" s="572">
        <f>SUM(K38:K53)</f>
        <v>0</v>
      </c>
      <c r="L54" s="573"/>
      <c r="M54" s="417"/>
      <c r="N54" s="120"/>
      <c r="O54" s="120"/>
      <c r="P54" s="417"/>
      <c r="R54" s="417"/>
      <c r="S54" s="417"/>
    </row>
    <row r="55" spans="1:19" ht="14.25" customHeight="1">
      <c r="A55" s="103"/>
      <c r="B55" s="421" t="s">
        <v>170</v>
      </c>
      <c r="C55" s="165" t="s">
        <v>167</v>
      </c>
      <c r="D55" s="165"/>
      <c r="E55" s="165"/>
      <c r="F55" s="165"/>
      <c r="G55" s="165"/>
      <c r="H55" s="165"/>
      <c r="I55" s="422"/>
      <c r="J55" s="423"/>
      <c r="K55" s="424"/>
      <c r="L55" s="424"/>
      <c r="M55" s="425"/>
      <c r="N55" s="426"/>
      <c r="O55" s="120"/>
      <c r="P55" s="417"/>
      <c r="R55" s="417"/>
      <c r="S55" s="417"/>
    </row>
    <row r="56" spans="1:19" ht="14.25" customHeight="1">
      <c r="A56" s="103"/>
      <c r="B56" s="421" t="s">
        <v>171</v>
      </c>
      <c r="C56" s="165" t="s">
        <v>168</v>
      </c>
      <c r="D56" s="165"/>
      <c r="E56" s="165"/>
      <c r="F56" s="165"/>
      <c r="G56" s="165"/>
      <c r="H56" s="165"/>
      <c r="I56" s="422"/>
      <c r="J56" s="423"/>
      <c r="K56" s="424"/>
      <c r="L56" s="424"/>
      <c r="M56" s="425"/>
      <c r="N56" s="426"/>
      <c r="O56" s="120"/>
      <c r="P56" s="417"/>
      <c r="R56" s="417"/>
      <c r="S56" s="417"/>
    </row>
    <row r="57" spans="1:19">
      <c r="A57" s="103"/>
      <c r="B57" s="421" t="s">
        <v>172</v>
      </c>
      <c r="C57" s="495" t="s">
        <v>169</v>
      </c>
      <c r="D57" s="495"/>
      <c r="E57" s="495"/>
      <c r="F57" s="495"/>
      <c r="G57" s="495"/>
      <c r="H57" s="495"/>
      <c r="I57" s="495"/>
      <c r="J57" s="495"/>
      <c r="K57" s="495"/>
      <c r="L57" s="495"/>
      <c r="M57" s="495"/>
      <c r="N57" s="495"/>
      <c r="O57" s="120"/>
      <c r="P57" s="417"/>
      <c r="R57" s="417"/>
      <c r="S57" s="417"/>
    </row>
    <row r="58" spans="1:19">
      <c r="A58" s="103"/>
      <c r="B58" s="309"/>
      <c r="C58" s="495"/>
      <c r="D58" s="495"/>
      <c r="E58" s="495"/>
      <c r="F58" s="495"/>
      <c r="G58" s="495"/>
      <c r="H58" s="495"/>
      <c r="I58" s="495"/>
      <c r="J58" s="495"/>
      <c r="K58" s="495"/>
      <c r="L58" s="495"/>
      <c r="M58" s="495"/>
      <c r="N58" s="495"/>
      <c r="O58" s="120"/>
      <c r="P58" s="417"/>
      <c r="R58" s="417"/>
      <c r="S58" s="417"/>
    </row>
    <row r="59" spans="1:19">
      <c r="A59" s="103"/>
      <c r="B59" s="421" t="s">
        <v>462</v>
      </c>
      <c r="C59" s="165" t="s">
        <v>463</v>
      </c>
      <c r="D59" s="165"/>
      <c r="E59" s="133"/>
      <c r="F59" s="133"/>
      <c r="G59" s="133"/>
      <c r="H59" s="133"/>
      <c r="I59" s="133"/>
      <c r="J59" s="133"/>
      <c r="K59" s="133"/>
      <c r="L59" s="133"/>
      <c r="M59" s="133"/>
      <c r="N59" s="133"/>
      <c r="O59" s="120"/>
      <c r="P59" s="417"/>
      <c r="R59" s="417"/>
      <c r="S59" s="417"/>
    </row>
    <row r="60" spans="1:19" ht="12" customHeight="1">
      <c r="B60" s="427" t="s">
        <v>467</v>
      </c>
      <c r="C60" s="428" t="s">
        <v>515</v>
      </c>
      <c r="D60" s="429"/>
      <c r="E60" s="429"/>
      <c r="F60" s="429"/>
      <c r="G60" s="429"/>
      <c r="H60" s="429"/>
      <c r="I60" s="429"/>
      <c r="J60" s="429"/>
      <c r="K60" s="429"/>
      <c r="L60" s="429"/>
      <c r="M60" s="429"/>
      <c r="N60" s="429"/>
      <c r="O60" s="429"/>
      <c r="P60" s="430"/>
      <c r="Q60" s="430"/>
      <c r="R60" s="430"/>
      <c r="S60" s="430"/>
    </row>
    <row r="61" spans="1:19" ht="15.75">
      <c r="A61" s="411"/>
      <c r="C61" s="430"/>
      <c r="D61" s="430"/>
      <c r="E61" s="430"/>
      <c r="F61" s="430"/>
      <c r="G61" s="430"/>
      <c r="H61" s="430"/>
      <c r="I61" s="430"/>
      <c r="J61" s="430"/>
      <c r="K61" s="430"/>
      <c r="L61" s="430"/>
      <c r="M61" s="430"/>
      <c r="N61" s="430"/>
      <c r="O61" s="430"/>
      <c r="P61" s="430"/>
      <c r="Q61" s="430"/>
      <c r="R61" s="430"/>
      <c r="S61" s="430"/>
    </row>
    <row r="62" spans="1:19" ht="15.75">
      <c r="A62" s="411"/>
      <c r="C62" s="431"/>
      <c r="D62" s="431"/>
      <c r="E62" s="431"/>
      <c r="F62" s="431"/>
      <c r="G62" s="431"/>
      <c r="H62" s="431"/>
      <c r="I62" s="431"/>
      <c r="J62" s="431"/>
      <c r="K62" s="431"/>
      <c r="L62" s="431"/>
      <c r="M62" s="431"/>
      <c r="N62" s="431"/>
      <c r="O62" s="431"/>
      <c r="P62" s="431"/>
      <c r="Q62" s="430"/>
      <c r="R62" s="430"/>
      <c r="S62" s="430"/>
    </row>
    <row r="63" spans="1:19" ht="16.5" thickBot="1">
      <c r="A63" s="411" t="s">
        <v>262</v>
      </c>
    </row>
    <row r="64" spans="1:19" ht="13.5" thickBot="1">
      <c r="B64" s="432">
        <v>1</v>
      </c>
      <c r="C64" s="26"/>
      <c r="D64" s="444" t="s">
        <v>161</v>
      </c>
      <c r="E64" s="444"/>
      <c r="F64" s="444"/>
      <c r="G64" s="444"/>
      <c r="H64" s="444"/>
      <c r="I64" s="444"/>
      <c r="J64" s="444"/>
      <c r="K64" s="444"/>
      <c r="L64" s="444"/>
      <c r="M64" s="34"/>
      <c r="N64" s="433"/>
      <c r="O64" s="408"/>
      <c r="P64" s="408"/>
    </row>
    <row r="65" spans="1:14" ht="78" customHeight="1">
      <c r="B65" s="432"/>
      <c r="C65" s="569" t="s">
        <v>498</v>
      </c>
      <c r="D65" s="569"/>
      <c r="E65" s="569"/>
      <c r="F65" s="569"/>
      <c r="G65" s="569"/>
      <c r="H65" s="569"/>
      <c r="I65" s="569"/>
      <c r="J65" s="569"/>
      <c r="M65" s="34"/>
      <c r="N65" s="433"/>
    </row>
    <row r="66" spans="1:14">
      <c r="B66" s="432"/>
      <c r="C66" s="152"/>
      <c r="D66" s="152"/>
      <c r="E66" s="152"/>
      <c r="F66" s="152"/>
      <c r="G66" s="152"/>
      <c r="H66" s="152"/>
      <c r="M66" s="34"/>
      <c r="N66" s="433"/>
    </row>
    <row r="67" spans="1:14">
      <c r="B67" s="432">
        <v>2</v>
      </c>
      <c r="C67" t="s">
        <v>263</v>
      </c>
      <c r="M67" s="34" t="s">
        <v>0</v>
      </c>
      <c r="N67" s="27"/>
    </row>
    <row r="68" spans="1:14" ht="138.75" customHeight="1">
      <c r="B68" s="432"/>
      <c r="C68" s="569" t="s">
        <v>394</v>
      </c>
      <c r="D68" s="569"/>
      <c r="E68" s="569"/>
      <c r="F68" s="569"/>
      <c r="G68" s="569"/>
      <c r="H68" s="569"/>
      <c r="I68" s="569"/>
      <c r="J68" s="569"/>
      <c r="M68" s="34"/>
      <c r="N68" s="433"/>
    </row>
    <row r="69" spans="1:14" ht="165" customHeight="1">
      <c r="B69" s="432"/>
      <c r="C69" s="569" t="s">
        <v>264</v>
      </c>
      <c r="D69" s="569"/>
      <c r="E69" s="569"/>
      <c r="F69" s="569"/>
      <c r="G69" s="569"/>
      <c r="H69" s="569"/>
      <c r="I69" s="569"/>
      <c r="J69" s="569"/>
      <c r="K69" s="125"/>
      <c r="L69" s="125"/>
      <c r="M69" s="34"/>
      <c r="N69" s="433"/>
    </row>
    <row r="70" spans="1:14">
      <c r="B70" s="432"/>
      <c r="C70" s="152"/>
      <c r="D70" s="152"/>
      <c r="E70" s="152"/>
      <c r="F70" s="152"/>
      <c r="G70" s="152"/>
      <c r="H70" s="152"/>
      <c r="M70" s="34"/>
      <c r="N70" s="433"/>
    </row>
    <row r="71" spans="1:14">
      <c r="B71" s="432">
        <v>3</v>
      </c>
      <c r="C71" t="s">
        <v>500</v>
      </c>
      <c r="M71" s="34" t="s">
        <v>0</v>
      </c>
      <c r="N71" s="27">
        <v>0</v>
      </c>
    </row>
    <row r="72" spans="1:14" ht="98.25" customHeight="1">
      <c r="B72" s="432"/>
      <c r="C72" s="569" t="s">
        <v>499</v>
      </c>
      <c r="D72" s="569"/>
      <c r="E72" s="569"/>
      <c r="F72" s="569"/>
      <c r="G72" s="569"/>
      <c r="H72" s="569"/>
      <c r="I72" s="569"/>
      <c r="J72" s="569"/>
      <c r="M72" s="34"/>
      <c r="N72" s="433"/>
    </row>
    <row r="73" spans="1:14">
      <c r="B73" s="432"/>
      <c r="C73" s="152"/>
      <c r="D73" s="152"/>
      <c r="E73" s="152"/>
      <c r="F73" s="152"/>
      <c r="M73" s="34"/>
      <c r="N73" s="433"/>
    </row>
    <row r="74" spans="1:14" ht="14.25" customHeight="1">
      <c r="B74" s="250">
        <v>4</v>
      </c>
      <c r="C74" t="s">
        <v>501</v>
      </c>
      <c r="M74" s="34" t="s">
        <v>0</v>
      </c>
      <c r="N74" s="27"/>
    </row>
    <row r="75" spans="1:14" ht="53.25" customHeight="1">
      <c r="C75" s="569" t="s">
        <v>502</v>
      </c>
      <c r="D75" s="569"/>
      <c r="E75" s="569"/>
      <c r="F75" s="569"/>
      <c r="G75" s="569"/>
      <c r="H75" s="569"/>
      <c r="I75" s="569"/>
      <c r="J75" s="569"/>
    </row>
    <row r="76" spans="1:14">
      <c r="C76" s="133"/>
      <c r="D76" s="133"/>
      <c r="E76" s="133"/>
      <c r="F76" s="133"/>
      <c r="G76" s="133"/>
      <c r="H76" s="133"/>
      <c r="I76" s="133"/>
      <c r="J76" s="133"/>
    </row>
    <row r="77" spans="1:14" s="223" customFormat="1">
      <c r="B77" s="250">
        <v>5</v>
      </c>
      <c r="C77" t="s">
        <v>454</v>
      </c>
      <c r="M77" s="34" t="s">
        <v>0</v>
      </c>
      <c r="N77" s="27"/>
    </row>
    <row r="78" spans="1:14" s="223" customFormat="1" ht="85.5" customHeight="1">
      <c r="C78" s="569" t="s">
        <v>378</v>
      </c>
      <c r="D78" s="569"/>
      <c r="E78" s="569"/>
      <c r="F78" s="569"/>
      <c r="G78" s="569"/>
      <c r="H78" s="569"/>
      <c r="I78" s="569"/>
      <c r="J78" s="569"/>
    </row>
    <row r="79" spans="1:14" ht="13.5" customHeight="1"/>
    <row r="80" spans="1:14" ht="31.5" customHeight="1">
      <c r="A80" s="533" t="s">
        <v>503</v>
      </c>
      <c r="B80" s="533"/>
      <c r="C80" s="533"/>
      <c r="D80" s="533"/>
      <c r="E80" s="533"/>
      <c r="F80" s="533"/>
      <c r="G80" s="533"/>
      <c r="H80" s="533"/>
      <c r="I80" s="533"/>
      <c r="J80" s="533"/>
      <c r="K80" s="533"/>
      <c r="L80" s="533"/>
      <c r="M80" s="533"/>
      <c r="N80" s="533"/>
    </row>
    <row r="82" spans="2:14">
      <c r="B82" s="432">
        <v>1</v>
      </c>
      <c r="C82" t="s">
        <v>266</v>
      </c>
      <c r="M82" s="34"/>
      <c r="N82" s="33"/>
    </row>
    <row r="83" spans="2:14" ht="57" customHeight="1">
      <c r="C83" s="569" t="s">
        <v>457</v>
      </c>
      <c r="D83" s="569"/>
      <c r="E83" s="569"/>
      <c r="F83" s="569"/>
      <c r="G83" s="569"/>
      <c r="H83" s="569"/>
      <c r="I83" s="569"/>
      <c r="J83" s="569"/>
    </row>
    <row r="84" spans="2:14">
      <c r="C84" s="159"/>
      <c r="D84" s="159"/>
      <c r="E84" s="159"/>
      <c r="F84" s="159"/>
      <c r="G84" s="159"/>
      <c r="H84" s="159"/>
      <c r="I84" s="159"/>
      <c r="J84" s="159"/>
    </row>
    <row r="85" spans="2:14" ht="59.25" customHeight="1"/>
  </sheetData>
  <sheetProtection sheet="1" formatColumns="0" formatRows="0"/>
  <mergeCells count="72">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Q4:AC4"/>
    <mergeCell ref="L20:M20"/>
    <mergeCell ref="J8:L8"/>
    <mergeCell ref="J9:L9"/>
    <mergeCell ref="J10:L10"/>
    <mergeCell ref="L17:M17"/>
    <mergeCell ref="M10:N10"/>
    <mergeCell ref="L18:M18"/>
    <mergeCell ref="M7:N7"/>
    <mergeCell ref="I17:J17"/>
    <mergeCell ref="I18:J18"/>
    <mergeCell ref="K25:M25"/>
    <mergeCell ref="F16:G16"/>
    <mergeCell ref="B16:E16"/>
    <mergeCell ref="K49:L49"/>
    <mergeCell ref="K38:L38"/>
    <mergeCell ref="L26:M26"/>
    <mergeCell ref="K46:L46"/>
    <mergeCell ref="K43:L43"/>
    <mergeCell ref="B17:E17"/>
    <mergeCell ref="B19:E19"/>
    <mergeCell ref="I19:J19"/>
    <mergeCell ref="F17:G17"/>
    <mergeCell ref="F25:G25"/>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scale="61" fitToHeight="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8"/>
  <sheetViews>
    <sheetView showGridLines="0" zoomScaleNormal="100" zoomScaleSheetLayoutView="100" workbookViewId="0">
      <selection activeCell="L9" sqref="L9"/>
    </sheetView>
  </sheetViews>
  <sheetFormatPr defaultColWidth="11" defaultRowHeight="12"/>
  <cols>
    <col min="1" max="1" width="3.42578125" style="40" customWidth="1"/>
    <col min="2" max="2" width="2.42578125" style="40" customWidth="1"/>
    <col min="3" max="3" width="4" style="40" customWidth="1"/>
    <col min="4" max="4" width="4.140625" style="40" customWidth="1"/>
    <col min="5" max="5" width="7.5703125" style="40" customWidth="1"/>
    <col min="6" max="7" width="11" style="40" customWidth="1"/>
    <col min="8" max="9" width="11.5703125" style="40" customWidth="1"/>
    <col min="10" max="10" width="12.5703125" style="40" customWidth="1"/>
    <col min="11" max="11" width="2.5703125" style="40" customWidth="1"/>
    <col min="12" max="12" width="14" style="40" customWidth="1"/>
    <col min="13" max="13" width="1.5703125" style="40" customWidth="1"/>
    <col min="14" max="14" width="14.85546875" style="40" customWidth="1"/>
    <col min="15" max="15" width="11" style="40" customWidth="1"/>
    <col min="16" max="16" width="7.5703125" style="40" customWidth="1"/>
    <col min="17" max="18" width="11" style="40" customWidth="1"/>
    <col min="19" max="19" width="7.140625" style="40" customWidth="1"/>
    <col min="20" max="22" width="11" style="40" customWidth="1"/>
    <col min="23" max="23" width="7.140625" style="40" customWidth="1"/>
    <col min="24" max="26" width="11" style="40" customWidth="1"/>
    <col min="27" max="27" width="7.140625" style="40" customWidth="1"/>
    <col min="28" max="29" width="11" style="40" customWidth="1"/>
    <col min="30" max="16384" width="11" style="40"/>
  </cols>
  <sheetData>
    <row r="1" spans="1:15" ht="15.75" customHeight="1">
      <c r="A1" s="578" t="s">
        <v>182</v>
      </c>
      <c r="B1" s="578"/>
      <c r="C1" s="578"/>
      <c r="D1" s="578"/>
      <c r="E1" s="491" t="str">
        <f>CharterName</f>
        <v>Tucson International Academy</v>
      </c>
      <c r="F1" s="491"/>
      <c r="G1" s="491"/>
      <c r="H1" s="34" t="s">
        <v>128</v>
      </c>
      <c r="I1" s="36" t="str">
        <f>Cover!M1</f>
        <v>Pima</v>
      </c>
      <c r="J1" s="578" t="s">
        <v>221</v>
      </c>
      <c r="K1" s="578"/>
      <c r="L1" s="492" t="str">
        <f>CTD</f>
        <v>108714000</v>
      </c>
      <c r="M1" s="492"/>
      <c r="N1" s="38"/>
      <c r="O1" s="39"/>
    </row>
    <row r="2" spans="1:15" ht="15.75" customHeight="1">
      <c r="A2" s="38"/>
      <c r="B2" s="38"/>
      <c r="C2" s="38"/>
      <c r="D2" s="38"/>
      <c r="E2" s="41"/>
      <c r="F2" s="41"/>
      <c r="G2" s="41"/>
      <c r="H2" s="38"/>
      <c r="I2" s="41"/>
      <c r="J2" s="38"/>
      <c r="K2" s="38"/>
      <c r="L2" s="39"/>
      <c r="M2" s="39"/>
      <c r="N2" s="38"/>
      <c r="O2" s="39"/>
    </row>
    <row r="3" spans="1:15" ht="15.75" customHeight="1">
      <c r="A3" s="38"/>
      <c r="B3" s="38"/>
      <c r="C3" s="38"/>
      <c r="D3" s="38"/>
      <c r="E3" s="41"/>
      <c r="F3" s="41"/>
      <c r="G3" s="41"/>
      <c r="H3" s="38"/>
      <c r="I3" s="41"/>
      <c r="J3" s="38"/>
      <c r="K3" s="38"/>
      <c r="L3" s="39"/>
      <c r="M3" s="39"/>
      <c r="N3" s="38"/>
      <c r="O3" s="39"/>
    </row>
    <row r="4" spans="1:15" ht="15.75" customHeight="1">
      <c r="A4" s="38"/>
      <c r="B4" s="38"/>
      <c r="C4" s="38"/>
      <c r="D4" s="38"/>
      <c r="E4" s="41"/>
      <c r="F4" s="41"/>
      <c r="G4" s="41"/>
      <c r="H4" s="38"/>
      <c r="I4" s="41"/>
      <c r="J4" s="38"/>
      <c r="K4" s="38"/>
      <c r="L4" s="39"/>
      <c r="M4" s="39"/>
      <c r="N4" s="38"/>
      <c r="O4" s="39"/>
    </row>
    <row r="5" spans="1:15" ht="15.75" customHeight="1">
      <c r="A5" s="42" t="s">
        <v>267</v>
      </c>
      <c r="B5" s="38"/>
      <c r="C5" s="43"/>
      <c r="D5" s="43"/>
      <c r="E5" s="43"/>
      <c r="F5" s="43"/>
      <c r="G5" s="43"/>
      <c r="H5" s="43"/>
      <c r="I5" s="41"/>
      <c r="J5" s="38"/>
      <c r="K5" s="38"/>
      <c r="L5" s="39"/>
      <c r="M5" s="39"/>
      <c r="N5" s="38"/>
      <c r="O5" s="39"/>
    </row>
    <row r="6" spans="1:15" ht="15.75" customHeight="1">
      <c r="A6" s="42"/>
      <c r="B6" s="38"/>
      <c r="C6" s="44" t="s">
        <v>268</v>
      </c>
      <c r="D6" s="45"/>
      <c r="E6" s="45"/>
      <c r="F6" s="45"/>
      <c r="G6" s="45"/>
      <c r="H6" s="45"/>
      <c r="I6" s="46"/>
      <c r="J6" s="47"/>
      <c r="K6" s="47"/>
      <c r="L6" s="48"/>
      <c r="M6" s="48"/>
      <c r="N6" s="47"/>
      <c r="O6" s="39"/>
    </row>
    <row r="7" spans="1:15" ht="15.75" customHeight="1" thickBot="1">
      <c r="A7" s="38"/>
      <c r="B7" s="38"/>
      <c r="C7" s="49" t="s">
        <v>195</v>
      </c>
      <c r="D7" s="49"/>
      <c r="E7" s="50"/>
      <c r="F7" s="50"/>
      <c r="G7" s="50"/>
      <c r="H7" s="50"/>
      <c r="I7" s="51"/>
      <c r="J7" s="52"/>
      <c r="K7" s="53"/>
      <c r="L7" s="54" t="s">
        <v>130</v>
      </c>
      <c r="M7" s="55"/>
      <c r="N7" s="56" t="s">
        <v>131</v>
      </c>
      <c r="O7" s="39"/>
    </row>
    <row r="8" spans="1:15" ht="15.75" customHeight="1" thickTop="1">
      <c r="A8" s="38"/>
      <c r="B8" s="38"/>
      <c r="C8" s="57" t="s">
        <v>269</v>
      </c>
      <c r="D8"/>
      <c r="E8"/>
      <c r="F8" s="58"/>
      <c r="G8" s="58"/>
      <c r="H8" s="58"/>
      <c r="I8" s="41"/>
      <c r="J8" s="38"/>
      <c r="K8" s="59"/>
      <c r="L8"/>
      <c r="M8" s="57"/>
      <c r="N8" s="60"/>
      <c r="O8" s="39"/>
    </row>
    <row r="9" spans="1:15" ht="15.75" customHeight="1" thickBot="1">
      <c r="A9" s="38"/>
      <c r="B9" s="38"/>
      <c r="C9" s="61"/>
      <c r="D9" s="62" t="s">
        <v>244</v>
      </c>
      <c r="E9" s="62"/>
      <c r="F9" s="62"/>
      <c r="G9" s="62"/>
      <c r="H9" s="62"/>
      <c r="I9" s="63"/>
      <c r="J9" s="64"/>
      <c r="K9" s="65"/>
      <c r="L9" s="66">
        <v>1.399</v>
      </c>
      <c r="M9" s="67"/>
      <c r="N9" s="68">
        <v>1.5589999999999999</v>
      </c>
      <c r="O9" s="39"/>
    </row>
    <row r="10" spans="1:15" ht="15.75" customHeight="1" thickTop="1">
      <c r="A10" s="38"/>
      <c r="B10" s="38"/>
      <c r="C10" s="69" t="s">
        <v>270</v>
      </c>
      <c r="D10"/>
      <c r="E10"/>
      <c r="F10" s="70"/>
      <c r="G10" s="70"/>
      <c r="H10" s="70"/>
      <c r="I10" s="41"/>
      <c r="J10" s="38"/>
      <c r="K10" s="71"/>
      <c r="L10" s="72"/>
      <c r="M10" s="57"/>
      <c r="N10" s="73"/>
      <c r="O10" s="39"/>
    </row>
    <row r="11" spans="1:15" ht="15.75" customHeight="1">
      <c r="A11" s="38"/>
      <c r="B11" s="38"/>
      <c r="C11" s="57"/>
      <c r="D11" t="s">
        <v>271</v>
      </c>
      <c r="E11"/>
      <c r="F11"/>
      <c r="G11"/>
      <c r="H11"/>
      <c r="I11" s="41"/>
      <c r="J11" s="38"/>
      <c r="K11" s="74"/>
      <c r="L11" s="75">
        <v>500</v>
      </c>
      <c r="M11" s="76"/>
      <c r="N11" s="77">
        <v>500</v>
      </c>
      <c r="O11" s="39"/>
    </row>
    <row r="12" spans="1:15" ht="15.75" customHeight="1">
      <c r="A12" s="38"/>
      <c r="B12" s="38"/>
      <c r="C12" s="57"/>
      <c r="D12" t="s">
        <v>243</v>
      </c>
      <c r="E12"/>
      <c r="F12"/>
      <c r="G12"/>
      <c r="H12"/>
      <c r="I12" s="41"/>
      <c r="J12" s="38"/>
      <c r="K12" s="74" t="s">
        <v>132</v>
      </c>
      <c r="L12" s="78">
        <f>IF('Data Entry'!I20&gt;99.999,IF('Data Entry'!I20&lt;500,'Data Entry'!I20,0),0)</f>
        <v>288</v>
      </c>
      <c r="M12" s="74" t="s">
        <v>132</v>
      </c>
      <c r="N12" s="79">
        <f>IF('Data Entry'!L20&gt;99.999,IF('Data Entry'!L20&lt;500,'Data Entry'!L20,0),0)</f>
        <v>122</v>
      </c>
      <c r="O12" s="39"/>
    </row>
    <row r="13" spans="1:15" ht="15.75" customHeight="1">
      <c r="A13" s="38"/>
      <c r="B13" s="38"/>
      <c r="C13" s="57"/>
      <c r="D13" t="s">
        <v>133</v>
      </c>
      <c r="E13"/>
      <c r="F13"/>
      <c r="G13"/>
      <c r="H13"/>
      <c r="I13" s="41"/>
      <c r="J13" s="38"/>
      <c r="K13" s="80" t="s">
        <v>134</v>
      </c>
      <c r="L13" s="78">
        <f>IF(L12&gt;0,ROUND(+L11-L12,4),0)</f>
        <v>212</v>
      </c>
      <c r="M13" s="81" t="s">
        <v>134</v>
      </c>
      <c r="N13" s="79">
        <f>IF(N12&gt;0,ROUND(+N11-N12,4),0)</f>
        <v>378</v>
      </c>
      <c r="O13" s="39"/>
    </row>
    <row r="14" spans="1:15" ht="15.75" customHeight="1">
      <c r="A14" s="38"/>
      <c r="B14" s="38"/>
      <c r="C14" s="57"/>
      <c r="D14" t="s">
        <v>272</v>
      </c>
      <c r="E14"/>
      <c r="F14"/>
      <c r="G14"/>
      <c r="H14"/>
      <c r="I14" s="41"/>
      <c r="J14" s="38"/>
      <c r="K14" s="80" t="s">
        <v>135</v>
      </c>
      <c r="L14" s="78">
        <v>2.9999999999999997E-4</v>
      </c>
      <c r="M14" s="80" t="s">
        <v>135</v>
      </c>
      <c r="N14" s="79">
        <v>4.0000000000000002E-4</v>
      </c>
      <c r="O14" s="39"/>
    </row>
    <row r="15" spans="1:15" ht="15.75" customHeight="1">
      <c r="A15" s="38"/>
      <c r="B15" s="38"/>
      <c r="C15" s="57"/>
      <c r="D15" t="s">
        <v>273</v>
      </c>
      <c r="E15"/>
      <c r="F15"/>
      <c r="G15"/>
      <c r="H15"/>
      <c r="I15" s="41"/>
      <c r="J15" s="38"/>
      <c r="K15" s="80" t="s">
        <v>134</v>
      </c>
      <c r="L15" s="78">
        <f>IF(L12&gt;0,ROUND(L13*L14,4),0)</f>
        <v>6.3600000000000004E-2</v>
      </c>
      <c r="M15" s="74" t="s">
        <v>134</v>
      </c>
      <c r="N15" s="79">
        <f>IF(N12&gt;0,ROUND(N13*N14,4),0)</f>
        <v>0.1512</v>
      </c>
      <c r="O15" s="39"/>
    </row>
    <row r="16" spans="1:15" ht="15.75" customHeight="1">
      <c r="A16" s="38"/>
      <c r="B16" s="38"/>
      <c r="C16" s="57"/>
      <c r="D16" t="s">
        <v>274</v>
      </c>
      <c r="E16"/>
      <c r="F16"/>
      <c r="G16"/>
      <c r="H16"/>
      <c r="I16" s="41"/>
      <c r="J16" s="38"/>
      <c r="K16" s="80" t="s">
        <v>136</v>
      </c>
      <c r="L16" s="78">
        <v>1.278</v>
      </c>
      <c r="M16" s="80" t="s">
        <v>136</v>
      </c>
      <c r="N16" s="79">
        <v>1.3979999999999999</v>
      </c>
      <c r="O16" s="39"/>
    </row>
    <row r="17" spans="1:15" ht="15.75" customHeight="1" thickBot="1">
      <c r="A17" s="38"/>
      <c r="B17" s="38"/>
      <c r="C17" s="61"/>
      <c r="D17" s="62" t="s">
        <v>275</v>
      </c>
      <c r="E17" s="62"/>
      <c r="F17" s="62"/>
      <c r="G17" s="62"/>
      <c r="H17" s="62"/>
      <c r="I17" s="63"/>
      <c r="J17" s="64"/>
      <c r="K17" s="82" t="s">
        <v>134</v>
      </c>
      <c r="L17" s="83">
        <f>IF(L12&gt;0,ROUND(+L15+L16,4),0)</f>
        <v>1.3415999999999999</v>
      </c>
      <c r="M17" s="67" t="s">
        <v>134</v>
      </c>
      <c r="N17" s="84">
        <f>IF(N12&gt;0,ROUND(+N15+N16,4),0)</f>
        <v>1.5491999999999999</v>
      </c>
      <c r="O17" s="39"/>
    </row>
    <row r="18" spans="1:15" ht="15.75" customHeight="1" thickTop="1">
      <c r="A18" s="38"/>
      <c r="B18" s="38"/>
      <c r="C18" s="69" t="s">
        <v>276</v>
      </c>
      <c r="D18"/>
      <c r="E18"/>
      <c r="F18" s="70"/>
      <c r="G18" s="70"/>
      <c r="H18" s="70"/>
      <c r="I18" s="41"/>
      <c r="J18" s="38"/>
      <c r="K18" s="71"/>
      <c r="L18" s="85"/>
      <c r="M18" s="57"/>
      <c r="N18" s="73"/>
      <c r="O18" s="39"/>
    </row>
    <row r="19" spans="1:15" ht="15.75" customHeight="1">
      <c r="A19" s="38"/>
      <c r="B19" s="38"/>
      <c r="C19" s="57"/>
      <c r="D19" t="s">
        <v>271</v>
      </c>
      <c r="E19"/>
      <c r="F19"/>
      <c r="G19"/>
      <c r="H19"/>
      <c r="I19" s="41"/>
      <c r="J19" s="38"/>
      <c r="K19" s="57"/>
      <c r="L19" s="86">
        <v>600</v>
      </c>
      <c r="M19" s="76"/>
      <c r="N19" s="79">
        <v>600</v>
      </c>
      <c r="O19" s="39"/>
    </row>
    <row r="20" spans="1:15" ht="15.75" customHeight="1">
      <c r="A20" s="38"/>
      <c r="B20" s="38"/>
      <c r="C20" s="57"/>
      <c r="D20" t="s">
        <v>243</v>
      </c>
      <c r="E20"/>
      <c r="F20"/>
      <c r="G20"/>
      <c r="H20"/>
      <c r="I20" s="41"/>
      <c r="J20" s="38"/>
      <c r="K20" s="87" t="s">
        <v>132</v>
      </c>
      <c r="L20" s="78">
        <f>IF('Data Entry'!I20&gt;499.999,IF('Data Entry'!I20&lt;600,'Data Entry'!I20,0),0)</f>
        <v>0</v>
      </c>
      <c r="M20" s="74" t="s">
        <v>132</v>
      </c>
      <c r="N20" s="79">
        <f>IF('Data Entry'!L20&gt;499.999,IF('Data Entry'!L20&lt;600,'Data Entry'!L20,0),0)</f>
        <v>0</v>
      </c>
      <c r="O20" s="39"/>
    </row>
    <row r="21" spans="1:15" ht="15.75" customHeight="1">
      <c r="A21" s="38"/>
      <c r="B21" s="38"/>
      <c r="C21" s="57"/>
      <c r="D21" t="s">
        <v>133</v>
      </c>
      <c r="E21"/>
      <c r="F21"/>
      <c r="G21"/>
      <c r="H21"/>
      <c r="I21" s="41"/>
      <c r="J21" s="38"/>
      <c r="K21" s="88" t="s">
        <v>134</v>
      </c>
      <c r="L21" s="78">
        <f>IF(L20&gt;0,ROUND(+L19-L20,4),0)</f>
        <v>0</v>
      </c>
      <c r="M21" s="81" t="s">
        <v>134</v>
      </c>
      <c r="N21" s="79">
        <f>IF(N20&gt;0,ROUND(+N19-N20,4),0)</f>
        <v>0</v>
      </c>
      <c r="O21" s="39"/>
    </row>
    <row r="22" spans="1:15" ht="15.75" customHeight="1">
      <c r="A22" s="38"/>
      <c r="B22" s="38"/>
      <c r="C22" s="57"/>
      <c r="D22" t="s">
        <v>272</v>
      </c>
      <c r="E22"/>
      <c r="F22"/>
      <c r="G22"/>
      <c r="H22"/>
      <c r="I22" s="41"/>
      <c r="J22" s="38"/>
      <c r="K22" s="87" t="s">
        <v>135</v>
      </c>
      <c r="L22" s="78">
        <v>1.1999999999999999E-3</v>
      </c>
      <c r="M22" s="80" t="s">
        <v>135</v>
      </c>
      <c r="N22" s="79">
        <v>1.2999999999999999E-3</v>
      </c>
      <c r="O22" s="39"/>
    </row>
    <row r="23" spans="1:15" ht="15.75" customHeight="1">
      <c r="A23" s="38"/>
      <c r="B23" s="38"/>
      <c r="C23" s="57"/>
      <c r="D23" t="s">
        <v>273</v>
      </c>
      <c r="E23"/>
      <c r="F23"/>
      <c r="G23"/>
      <c r="H23"/>
      <c r="I23" s="41"/>
      <c r="J23" s="38"/>
      <c r="K23" s="88" t="s">
        <v>134</v>
      </c>
      <c r="L23" s="78">
        <f>IF(L20&gt;0,ROUND(L21*L22,4),0)</f>
        <v>0</v>
      </c>
      <c r="M23" s="74" t="s">
        <v>134</v>
      </c>
      <c r="N23" s="79">
        <f>IF(N20&gt;0,ROUND(N21*N22,4),0)</f>
        <v>0</v>
      </c>
      <c r="O23" s="39"/>
    </row>
    <row r="24" spans="1:15" ht="15.75" customHeight="1">
      <c r="A24" s="38"/>
      <c r="B24" s="38"/>
      <c r="C24" s="57"/>
      <c r="D24" t="s">
        <v>274</v>
      </c>
      <c r="E24"/>
      <c r="F24"/>
      <c r="G24"/>
      <c r="H24"/>
      <c r="I24" s="41"/>
      <c r="J24" s="38"/>
      <c r="K24" s="87" t="s">
        <v>136</v>
      </c>
      <c r="L24" s="78">
        <v>1.1579999999999999</v>
      </c>
      <c r="M24" s="74" t="s">
        <v>136</v>
      </c>
      <c r="N24" s="79">
        <v>1.268</v>
      </c>
      <c r="O24" s="39"/>
    </row>
    <row r="25" spans="1:15" ht="15.75" customHeight="1" thickBot="1">
      <c r="A25" s="38"/>
      <c r="B25" s="38"/>
      <c r="C25" s="61"/>
      <c r="D25" s="62" t="s">
        <v>275</v>
      </c>
      <c r="E25" s="62"/>
      <c r="F25" s="62"/>
      <c r="G25" s="62"/>
      <c r="H25" s="62"/>
      <c r="I25" s="63"/>
      <c r="J25" s="64"/>
      <c r="K25" s="89" t="s">
        <v>134</v>
      </c>
      <c r="L25" s="83">
        <f>IF(L20&gt;0,ROUND(+L23+L24,4),0)</f>
        <v>0</v>
      </c>
      <c r="M25" s="82" t="s">
        <v>134</v>
      </c>
      <c r="N25" s="68">
        <f>IF(N20&gt;0,ROUND(+N23+N24,4),0)</f>
        <v>0</v>
      </c>
      <c r="O25" s="39"/>
    </row>
    <row r="26" spans="1:15" ht="15.75" customHeight="1" thickTop="1">
      <c r="A26" s="38"/>
      <c r="B26" s="38"/>
      <c r="C26" s="69" t="s">
        <v>277</v>
      </c>
      <c r="D26"/>
      <c r="E26"/>
      <c r="F26" s="90"/>
      <c r="G26" s="90"/>
      <c r="H26" s="70"/>
      <c r="I26" s="41"/>
      <c r="J26" s="38"/>
      <c r="K26" s="71"/>
      <c r="L26" s="91"/>
      <c r="M26" s="69"/>
      <c r="N26" s="73"/>
      <c r="O26" s="39"/>
    </row>
    <row r="27" spans="1:15" ht="15.75" customHeight="1" thickBot="1">
      <c r="A27" s="38"/>
      <c r="B27" s="38"/>
      <c r="C27" s="92"/>
      <c r="D27" s="62" t="s">
        <v>275</v>
      </c>
      <c r="E27" s="62"/>
      <c r="F27" s="62"/>
      <c r="G27" s="62"/>
      <c r="H27" s="62"/>
      <c r="I27" s="63"/>
      <c r="J27" s="64"/>
      <c r="K27" s="67"/>
      <c r="L27" s="66">
        <v>1.1579999999999999</v>
      </c>
      <c r="M27" s="67"/>
      <c r="N27" s="68">
        <v>1.268</v>
      </c>
      <c r="O27" s="39"/>
    </row>
    <row r="28" spans="1:15" ht="15.75" customHeight="1" thickTop="1">
      <c r="A28" s="38"/>
      <c r="B28" s="38"/>
      <c r="C28" s="93"/>
      <c r="D28"/>
      <c r="E28"/>
      <c r="F28"/>
      <c r="G28"/>
      <c r="H28"/>
      <c r="I28" s="41"/>
      <c r="J28" s="38"/>
      <c r="K28"/>
      <c r="L28"/>
      <c r="M28"/>
      <c r="N28"/>
      <c r="O28" s="39"/>
    </row>
    <row r="29" spans="1:15" ht="15.75" customHeight="1">
      <c r="A29" s="38"/>
      <c r="B29" s="38"/>
      <c r="C29" s="93"/>
      <c r="D29"/>
      <c r="E29"/>
      <c r="F29"/>
      <c r="G29"/>
      <c r="H29"/>
      <c r="I29" s="41"/>
      <c r="J29" s="38"/>
      <c r="K29"/>
      <c r="L29"/>
      <c r="M29"/>
      <c r="N29"/>
      <c r="O29" s="39"/>
    </row>
    <row r="30" spans="1:15" ht="15.75" customHeight="1">
      <c r="A30" s="38"/>
      <c r="B30" s="38"/>
      <c r="C30" s="93"/>
      <c r="D30"/>
      <c r="E30"/>
      <c r="F30"/>
      <c r="G30"/>
      <c r="H30"/>
      <c r="I30" s="41"/>
      <c r="J30" s="38"/>
      <c r="K30"/>
      <c r="L30"/>
      <c r="M30"/>
      <c r="N30"/>
      <c r="O30" s="39"/>
    </row>
    <row r="31" spans="1:15" ht="15.75" customHeight="1">
      <c r="A31" s="38"/>
      <c r="B31" s="38"/>
      <c r="C31" s="44" t="s">
        <v>350</v>
      </c>
      <c r="D31" s="44"/>
      <c r="E31" s="44"/>
      <c r="F31" s="44"/>
      <c r="G31" s="44"/>
      <c r="H31" s="44"/>
      <c r="I31" s="94"/>
      <c r="J31" s="95"/>
      <c r="K31" s="44"/>
      <c r="L31" s="44"/>
      <c r="M31" s="44"/>
      <c r="N31" s="44"/>
      <c r="O31" s="96"/>
    </row>
    <row r="32" spans="1:15" ht="15.75" customHeight="1" thickBot="1">
      <c r="A32" s="38"/>
      <c r="B32" s="38"/>
      <c r="C32" s="49" t="s">
        <v>195</v>
      </c>
      <c r="D32" s="49"/>
      <c r="E32" s="50"/>
      <c r="F32" s="50"/>
      <c r="G32" s="50"/>
      <c r="H32" s="50"/>
      <c r="I32" s="51"/>
      <c r="J32" s="52"/>
      <c r="K32" s="53"/>
      <c r="L32" s="54" t="s">
        <v>130</v>
      </c>
      <c r="M32" s="97"/>
      <c r="N32" s="56" t="s">
        <v>131</v>
      </c>
      <c r="O32" s="39"/>
    </row>
    <row r="33" spans="1:15" ht="15.75" customHeight="1" thickTop="1">
      <c r="A33" s="38"/>
      <c r="B33" s="38"/>
      <c r="C33" s="57" t="s">
        <v>278</v>
      </c>
      <c r="D33"/>
      <c r="E33"/>
      <c r="F33" s="58"/>
      <c r="G33" s="58"/>
      <c r="H33" s="58"/>
      <c r="I33" s="41"/>
      <c r="J33" s="38"/>
      <c r="K33" s="57"/>
      <c r="L33"/>
      <c r="M33" s="57"/>
      <c r="N33" s="98"/>
      <c r="O33" s="39"/>
    </row>
    <row r="34" spans="1:15" ht="15.75" customHeight="1" thickBot="1">
      <c r="A34" s="38"/>
      <c r="B34" s="38"/>
      <c r="C34" s="61"/>
      <c r="D34" s="62" t="s">
        <v>244</v>
      </c>
      <c r="E34" s="62"/>
      <c r="F34" s="62"/>
      <c r="G34" s="62"/>
      <c r="H34" s="62"/>
      <c r="I34" s="63"/>
      <c r="J34" s="64"/>
      <c r="K34" s="67"/>
      <c r="L34" s="66">
        <v>1.399</v>
      </c>
      <c r="M34" s="67"/>
      <c r="N34" s="68">
        <v>1.5589999999999999</v>
      </c>
      <c r="O34" s="39"/>
    </row>
    <row r="35" spans="1:15" ht="15.75" customHeight="1" thickTop="1">
      <c r="A35" s="38"/>
      <c r="B35" s="38"/>
      <c r="C35" s="69" t="s">
        <v>270</v>
      </c>
      <c r="D35"/>
      <c r="E35"/>
      <c r="F35" s="70"/>
      <c r="G35" s="70"/>
      <c r="H35" s="70"/>
      <c r="I35" s="41"/>
      <c r="J35" s="38"/>
      <c r="K35" s="99"/>
      <c r="L35" s="72"/>
      <c r="M35" s="57"/>
      <c r="N35" s="73"/>
      <c r="O35" s="39"/>
    </row>
    <row r="36" spans="1:15" ht="15.75" customHeight="1">
      <c r="A36" s="38"/>
      <c r="B36" s="38"/>
      <c r="C36" s="57"/>
      <c r="D36" t="s">
        <v>271</v>
      </c>
      <c r="E36"/>
      <c r="F36"/>
      <c r="G36"/>
      <c r="H36"/>
      <c r="I36" s="41"/>
      <c r="J36" s="38"/>
      <c r="K36" s="100"/>
      <c r="L36" s="86">
        <v>500</v>
      </c>
      <c r="M36" s="74"/>
      <c r="N36" s="79">
        <v>500</v>
      </c>
      <c r="O36" s="39"/>
    </row>
    <row r="37" spans="1:15" ht="15.75" customHeight="1">
      <c r="A37" s="38"/>
      <c r="B37" s="38"/>
      <c r="C37" s="57"/>
      <c r="D37" t="s">
        <v>243</v>
      </c>
      <c r="E37"/>
      <c r="F37"/>
      <c r="G37"/>
      <c r="H37"/>
      <c r="I37" s="41"/>
      <c r="J37" s="38"/>
      <c r="K37" s="100" t="s">
        <v>132</v>
      </c>
      <c r="L37" s="78">
        <f>IF('Data Entry'!I29&gt;99.999,IF('Data Entry'!I29&lt;500,'Data Entry'!I29,0),0)</f>
        <v>0</v>
      </c>
      <c r="M37" s="100" t="s">
        <v>132</v>
      </c>
      <c r="N37" s="79">
        <f>IF('Data Entry'!L29&gt;99.999,IF('Data Entry'!L29&lt;500,'Data Entry'!L29,0),0)</f>
        <v>0</v>
      </c>
      <c r="O37" s="39"/>
    </row>
    <row r="38" spans="1:15" ht="15.75" customHeight="1">
      <c r="A38" s="38"/>
      <c r="B38" s="38"/>
      <c r="C38" s="57"/>
      <c r="D38" t="s">
        <v>133</v>
      </c>
      <c r="E38"/>
      <c r="F38"/>
      <c r="G38"/>
      <c r="H38"/>
      <c r="I38" s="41"/>
      <c r="J38" s="38"/>
      <c r="K38" s="100" t="s">
        <v>134</v>
      </c>
      <c r="L38" s="78">
        <f>IF(L37&gt;0,ROUND(+L36-L37,4),0)</f>
        <v>0</v>
      </c>
      <c r="M38" s="100" t="s">
        <v>134</v>
      </c>
      <c r="N38" s="79">
        <f>IF(N37&gt;0,ROUND(+N36-N37,4),0)</f>
        <v>0</v>
      </c>
      <c r="O38" s="39"/>
    </row>
    <row r="39" spans="1:15" ht="15.75" customHeight="1">
      <c r="A39" s="38"/>
      <c r="B39" s="38"/>
      <c r="C39" s="57"/>
      <c r="D39" t="s">
        <v>272</v>
      </c>
      <c r="E39"/>
      <c r="F39"/>
      <c r="G39"/>
      <c r="H39"/>
      <c r="I39" s="41"/>
      <c r="J39" s="38"/>
      <c r="K39" s="100" t="s">
        <v>135</v>
      </c>
      <c r="L39" s="78">
        <v>2.9999999999999997E-4</v>
      </c>
      <c r="M39" s="100" t="s">
        <v>135</v>
      </c>
      <c r="N39" s="79">
        <v>4.0000000000000002E-4</v>
      </c>
      <c r="O39" s="39"/>
    </row>
    <row r="40" spans="1:15" ht="15.75" customHeight="1">
      <c r="A40" s="38"/>
      <c r="B40" s="38"/>
      <c r="C40" s="57"/>
      <c r="D40" t="s">
        <v>273</v>
      </c>
      <c r="E40"/>
      <c r="F40"/>
      <c r="G40"/>
      <c r="H40"/>
      <c r="I40" s="41"/>
      <c r="J40" s="38"/>
      <c r="K40" s="100" t="s">
        <v>134</v>
      </c>
      <c r="L40" s="78">
        <f>IF(L37&gt;0,ROUND(L38*L39,4),0)</f>
        <v>0</v>
      </c>
      <c r="M40" s="100" t="s">
        <v>134</v>
      </c>
      <c r="N40" s="79">
        <f>IF(N37&gt;0,ROUND(N38*N39,4),0)</f>
        <v>0</v>
      </c>
      <c r="O40" s="39"/>
    </row>
    <row r="41" spans="1:15" ht="15.75" customHeight="1">
      <c r="A41" s="38"/>
      <c r="B41" s="38"/>
      <c r="C41" s="57"/>
      <c r="D41" t="s">
        <v>274</v>
      </c>
      <c r="E41"/>
      <c r="F41"/>
      <c r="G41"/>
      <c r="H41"/>
      <c r="I41" s="41"/>
      <c r="J41" s="38"/>
      <c r="K41" s="100" t="s">
        <v>136</v>
      </c>
      <c r="L41" s="78">
        <v>1.278</v>
      </c>
      <c r="M41" s="100" t="s">
        <v>136</v>
      </c>
      <c r="N41" s="79">
        <v>1.3979999999999999</v>
      </c>
      <c r="O41" s="39"/>
    </row>
    <row r="42" spans="1:15" ht="15.75" customHeight="1" thickBot="1">
      <c r="A42" s="38"/>
      <c r="B42" s="38"/>
      <c r="C42" s="61"/>
      <c r="D42" s="62" t="s">
        <v>275</v>
      </c>
      <c r="E42" s="62"/>
      <c r="F42" s="62"/>
      <c r="G42" s="62"/>
      <c r="H42" s="62"/>
      <c r="I42" s="63"/>
      <c r="J42" s="64"/>
      <c r="K42" s="89" t="s">
        <v>134</v>
      </c>
      <c r="L42" s="83">
        <f>IF(L37&gt;0,ROUND(+L40+L41,4),0)</f>
        <v>0</v>
      </c>
      <c r="M42" s="89" t="s">
        <v>134</v>
      </c>
      <c r="N42" s="68">
        <f>IF(N37&gt;0,ROUND(+N40+N41,4),0)</f>
        <v>0</v>
      </c>
      <c r="O42" s="39"/>
    </row>
    <row r="43" spans="1:15" ht="15.75" customHeight="1" thickTop="1">
      <c r="A43" s="38"/>
      <c r="B43" s="38"/>
      <c r="C43" s="69" t="s">
        <v>276</v>
      </c>
      <c r="D43"/>
      <c r="E43"/>
      <c r="F43" s="70"/>
      <c r="G43" s="70"/>
      <c r="H43" s="70"/>
      <c r="I43" s="41"/>
      <c r="J43" s="38"/>
      <c r="K43" s="71"/>
      <c r="L43" s="72"/>
      <c r="M43" s="57"/>
      <c r="N43" s="73"/>
      <c r="O43" s="39"/>
    </row>
    <row r="44" spans="1:15" ht="15.75" customHeight="1">
      <c r="A44" s="38"/>
      <c r="B44" s="38"/>
      <c r="C44" s="57"/>
      <c r="D44" t="s">
        <v>271</v>
      </c>
      <c r="E44"/>
      <c r="F44"/>
      <c r="G44"/>
      <c r="H44"/>
      <c r="I44" s="41"/>
      <c r="J44" s="38"/>
      <c r="K44" s="100"/>
      <c r="L44" s="86">
        <v>600</v>
      </c>
      <c r="M44" s="74"/>
      <c r="N44" s="79">
        <v>600</v>
      </c>
      <c r="O44" s="39"/>
    </row>
    <row r="45" spans="1:15" ht="15.75" customHeight="1">
      <c r="A45" s="38"/>
      <c r="B45" s="38"/>
      <c r="C45" s="57"/>
      <c r="D45" t="s">
        <v>243</v>
      </c>
      <c r="E45"/>
      <c r="F45"/>
      <c r="G45"/>
      <c r="H45"/>
      <c r="I45" s="41"/>
      <c r="J45" s="38"/>
      <c r="K45" s="100" t="s">
        <v>132</v>
      </c>
      <c r="L45" s="78">
        <f>IF('Data Entry'!I29&gt;499.999,IF('Data Entry'!I29&lt;600,'Data Entry'!I29,0),0)</f>
        <v>0</v>
      </c>
      <c r="M45" s="100" t="s">
        <v>132</v>
      </c>
      <c r="N45" s="79">
        <f>IF('Data Entry'!L29&gt;499.999,IF('Data Entry'!L29&lt;600,'Data Entry'!L29,0),0)</f>
        <v>0</v>
      </c>
      <c r="O45" s="39"/>
    </row>
    <row r="46" spans="1:15" ht="15.75" customHeight="1">
      <c r="A46" s="38"/>
      <c r="B46" s="38"/>
      <c r="C46" s="57"/>
      <c r="D46" t="s">
        <v>133</v>
      </c>
      <c r="E46"/>
      <c r="F46"/>
      <c r="G46"/>
      <c r="H46"/>
      <c r="I46" s="41"/>
      <c r="J46" s="38"/>
      <c r="K46" s="100" t="s">
        <v>134</v>
      </c>
      <c r="L46" s="78">
        <f>IF(L45&gt;0,ROUND(+L44-L45,4),0)</f>
        <v>0</v>
      </c>
      <c r="M46" s="100" t="s">
        <v>134</v>
      </c>
      <c r="N46" s="79">
        <f>IF(N45&gt;0,ROUND(+N44-N45,4),0)</f>
        <v>0</v>
      </c>
      <c r="O46" s="39"/>
    </row>
    <row r="47" spans="1:15" ht="15.75" customHeight="1">
      <c r="A47" s="38"/>
      <c r="B47" s="38"/>
      <c r="C47" s="57"/>
      <c r="D47" t="s">
        <v>272</v>
      </c>
      <c r="E47"/>
      <c r="F47"/>
      <c r="G47"/>
      <c r="H47"/>
      <c r="I47" s="41"/>
      <c r="J47" s="38"/>
      <c r="K47" s="100" t="s">
        <v>135</v>
      </c>
      <c r="L47" s="78">
        <v>1.1999999999999999E-3</v>
      </c>
      <c r="M47" s="100" t="s">
        <v>135</v>
      </c>
      <c r="N47" s="79">
        <v>1.2999999999999999E-3</v>
      </c>
      <c r="O47" s="39"/>
    </row>
    <row r="48" spans="1:15" ht="15.75" customHeight="1">
      <c r="A48" s="38"/>
      <c r="B48" s="38"/>
      <c r="C48" s="57"/>
      <c r="D48" t="s">
        <v>273</v>
      </c>
      <c r="E48"/>
      <c r="F48"/>
      <c r="G48"/>
      <c r="H48"/>
      <c r="I48" s="41"/>
      <c r="J48" s="38"/>
      <c r="K48" s="100" t="s">
        <v>134</v>
      </c>
      <c r="L48" s="78">
        <f>IF(L45&gt;0,ROUND(L46*L47,4),0)</f>
        <v>0</v>
      </c>
      <c r="M48" s="100" t="s">
        <v>134</v>
      </c>
      <c r="N48" s="79">
        <f>IF(N45&gt;0,ROUND(N46*N47,4),0)</f>
        <v>0</v>
      </c>
      <c r="O48" s="39"/>
    </row>
    <row r="49" spans="1:31" ht="15.75" customHeight="1">
      <c r="A49" s="38"/>
      <c r="B49" s="38"/>
      <c r="C49" s="57"/>
      <c r="D49" t="s">
        <v>274</v>
      </c>
      <c r="E49"/>
      <c r="F49"/>
      <c r="G49"/>
      <c r="H49"/>
      <c r="I49" s="41"/>
      <c r="J49" s="38"/>
      <c r="K49" s="100" t="s">
        <v>136</v>
      </c>
      <c r="L49" s="78">
        <v>1.1579999999999999</v>
      </c>
      <c r="M49" s="100" t="s">
        <v>136</v>
      </c>
      <c r="N49" s="79">
        <v>1.268</v>
      </c>
      <c r="O49" s="39"/>
    </row>
    <row r="50" spans="1:31" ht="15.75" customHeight="1" thickBot="1">
      <c r="A50" s="38"/>
      <c r="B50" s="38"/>
      <c r="C50" s="61"/>
      <c r="D50" s="62" t="s">
        <v>275</v>
      </c>
      <c r="E50" s="62"/>
      <c r="F50" s="62"/>
      <c r="G50" s="62"/>
      <c r="H50" s="62"/>
      <c r="I50" s="63"/>
      <c r="J50" s="64"/>
      <c r="K50" s="89" t="s">
        <v>134</v>
      </c>
      <c r="L50" s="83">
        <f>IF(L45&gt;0,ROUND(+L48+L49,4),0)</f>
        <v>0</v>
      </c>
      <c r="M50" s="89" t="s">
        <v>134</v>
      </c>
      <c r="N50" s="68">
        <f>IF(N45&gt;0,ROUND(+N48+N49,4),0)</f>
        <v>0</v>
      </c>
      <c r="O50" s="39"/>
    </row>
    <row r="51" spans="1:31" ht="15.75" customHeight="1" thickTop="1">
      <c r="A51" s="38"/>
      <c r="B51" s="38"/>
      <c r="C51" s="69" t="s">
        <v>277</v>
      </c>
      <c r="D51"/>
      <c r="E51"/>
      <c r="F51" s="90"/>
      <c r="G51" s="90"/>
      <c r="H51" s="70"/>
      <c r="I51" s="41"/>
      <c r="J51" s="38"/>
      <c r="K51" s="71"/>
      <c r="L51" s="85"/>
      <c r="M51" s="57"/>
      <c r="N51" s="73"/>
      <c r="O51" s="39"/>
    </row>
    <row r="52" spans="1:31" ht="15.75" customHeight="1" thickBot="1">
      <c r="A52" s="38"/>
      <c r="B52" s="38"/>
      <c r="C52" s="92"/>
      <c r="D52" s="62" t="s">
        <v>275</v>
      </c>
      <c r="E52" s="62"/>
      <c r="F52" s="62"/>
      <c r="G52" s="62"/>
      <c r="H52" s="62"/>
      <c r="I52" s="63"/>
      <c r="J52" s="64"/>
      <c r="K52" s="67"/>
      <c r="L52" s="66">
        <v>1.1579999999999999</v>
      </c>
      <c r="M52" s="101"/>
      <c r="N52" s="68">
        <v>1.268</v>
      </c>
      <c r="O52" s="39"/>
    </row>
    <row r="53" spans="1:31" ht="15.75" customHeight="1" thickTop="1">
      <c r="A53" s="38"/>
      <c r="B53" s="38"/>
      <c r="C53" s="38"/>
      <c r="D53" s="38"/>
      <c r="E53" s="41"/>
      <c r="F53" s="41"/>
      <c r="G53" s="41"/>
      <c r="H53" s="38"/>
      <c r="I53" s="41"/>
      <c r="J53" s="38"/>
      <c r="K53" s="38"/>
      <c r="L53" s="39"/>
      <c r="M53" s="39"/>
      <c r="N53" s="38"/>
      <c r="O53" s="39"/>
    </row>
    <row r="54" spans="1:31" ht="15.75" customHeight="1">
      <c r="A54" s="38"/>
      <c r="B54" s="38"/>
      <c r="C54" s="38"/>
      <c r="D54" s="38"/>
      <c r="E54" s="41"/>
      <c r="F54" s="41"/>
      <c r="G54" s="41"/>
      <c r="H54" s="38"/>
      <c r="I54" s="41"/>
      <c r="J54" s="38"/>
      <c r="K54" s="38"/>
      <c r="L54" s="39"/>
      <c r="M54" s="39"/>
      <c r="N54" s="38"/>
      <c r="O54" s="39"/>
    </row>
    <row r="55" spans="1:31" ht="15.75" customHeight="1">
      <c r="A55" s="38"/>
      <c r="B55" s="38"/>
      <c r="C55" s="38"/>
      <c r="D55" s="38"/>
      <c r="E55" s="41"/>
      <c r="F55" s="41"/>
      <c r="G55" s="41"/>
      <c r="H55" s="38"/>
      <c r="I55" s="41"/>
      <c r="J55" s="38"/>
      <c r="K55" s="38"/>
      <c r="L55" s="39"/>
      <c r="M55" s="39"/>
      <c r="N55" s="38"/>
      <c r="O55" s="39"/>
    </row>
    <row r="56" spans="1:31" ht="15.75" customHeight="1">
      <c r="A56" s="38"/>
      <c r="B56" s="102" t="s">
        <v>455</v>
      </c>
      <c r="C56" s="102"/>
      <c r="D56"/>
      <c r="E56"/>
      <c r="F56"/>
      <c r="G56" s="41"/>
      <c r="H56" s="38"/>
      <c r="I56" s="41"/>
      <c r="J56" s="38"/>
      <c r="K56" s="38"/>
      <c r="L56" s="39"/>
      <c r="M56" s="39"/>
      <c r="N56" s="38"/>
      <c r="O56" s="39"/>
    </row>
    <row r="57" spans="1:31" ht="15.75" customHeight="1">
      <c r="A57" s="38"/>
      <c r="B57" s="103">
        <v>1</v>
      </c>
      <c r="C57" t="s">
        <v>279</v>
      </c>
      <c r="D57"/>
      <c r="E57"/>
      <c r="F57"/>
      <c r="G57" s="41"/>
      <c r="H57" s="38"/>
      <c r="I57" s="41"/>
      <c r="J57" s="38"/>
      <c r="K57" s="38"/>
      <c r="L57" s="104">
        <f>IF('Data Entry'!I20&gt;0,IF('Data Entry'!I20&lt;100,L9,IF('Data Entry'!I20&lt;500,L17,IF('Data Entry'!I20&lt;600,L25,L27))),0)</f>
        <v>1.3415999999999999</v>
      </c>
      <c r="M57" s="39"/>
      <c r="N57" s="75">
        <f>IF('Data Entry'!L20&gt;0,IF('Data Entry'!L20&lt;100,N9,IF('Data Entry'!L20&lt;500,N17,IF('Data Entry'!L20&lt;600,N25,N27))),0)</f>
        <v>1.5491999999999999</v>
      </c>
      <c r="O57" s="39"/>
    </row>
    <row r="58" spans="1:31" ht="15.75" customHeight="1">
      <c r="A58" s="38"/>
      <c r="B58" s="103">
        <v>2</v>
      </c>
      <c r="C58" t="s">
        <v>280</v>
      </c>
      <c r="D58"/>
      <c r="E58"/>
      <c r="F58"/>
      <c r="G58" s="41"/>
      <c r="H58" s="38"/>
      <c r="I58" s="41"/>
      <c r="J58" s="38"/>
      <c r="K58" s="38"/>
      <c r="L58" s="75">
        <f>IF(AND('Data Entry'!I29=0,'Data Entry'!$A$6="X"),1.158,IF('Data Entry'!I29&gt;0,IF('Data Entry'!I29&lt;100,L34,IF('Data Entry'!I29&lt;500,L42,IF('Data Entry'!I29&lt;600,L50,L52))),0))</f>
        <v>0</v>
      </c>
      <c r="M58" s="39"/>
      <c r="N58" s="75">
        <f>IF(AND('Data Entry'!L29=0,'Data Entry'!$A$6="X"),1.268,IF('Data Entry'!L29&gt;0,IF('Data Entry'!L29&lt;100,N34,IF('Data Entry'!L29&lt;500,N42,IF('Data Entry'!L29&lt;600,N50,N52))),0))</f>
        <v>0</v>
      </c>
      <c r="O58" s="39"/>
    </row>
    <row r="59" spans="1:31" ht="15.75" customHeight="1">
      <c r="A59" s="38"/>
      <c r="B59" s="103">
        <v>3</v>
      </c>
      <c r="C59" s="105" t="s">
        <v>468</v>
      </c>
      <c r="D59" s="106"/>
      <c r="E59" s="106"/>
      <c r="F59" s="106"/>
      <c r="G59" s="107"/>
      <c r="H59" s="108"/>
      <c r="I59" s="107"/>
      <c r="J59" s="108"/>
      <c r="K59" s="108"/>
      <c r="L59" s="75">
        <f>IF(StudCntK8CY=0,0,IF(OR('Data Entry'!B8="X",'Data Entry'!B9="X",'Data Entry'!B10="X",'Data Entry'!B11="X"),Calculations!L58,Calculations!L57))</f>
        <v>1.3415999999999999</v>
      </c>
      <c r="M59" s="109"/>
      <c r="N59" s="75">
        <f>IF(StudCnt912CY=0,0,IF(OR('Data Entry'!B8="X",'Data Entry'!B9="X",'Data Entry'!B10="X",'Data Entry'!B11="X"),Calculations!N58,Calculations!N57))</f>
        <v>1.5491999999999999</v>
      </c>
      <c r="O59" s="39"/>
    </row>
    <row r="61" spans="1:31" ht="12.75">
      <c r="A61" s="102"/>
      <c r="C61" s="102"/>
      <c r="D61" s="102"/>
      <c r="E61" s="102"/>
      <c r="F61" s="102"/>
    </row>
    <row r="62" spans="1:31" ht="12.75">
      <c r="A62" s="102"/>
      <c r="B62" s="110" t="s">
        <v>281</v>
      </c>
      <c r="C62" s="102"/>
      <c r="D62" s="102"/>
      <c r="E62" s="102"/>
      <c r="F62" s="102"/>
      <c r="T62" s="447"/>
      <c r="U62" s="447"/>
      <c r="V62" s="447"/>
      <c r="W62" s="447"/>
      <c r="X62" s="447"/>
      <c r="Y62" s="447"/>
      <c r="Z62" s="447"/>
      <c r="AA62" s="447"/>
      <c r="AB62" s="447"/>
      <c r="AC62" s="447"/>
      <c r="AD62" s="447"/>
      <c r="AE62" s="447"/>
    </row>
    <row r="63" spans="1:31" ht="12.75" customHeight="1">
      <c r="B63" s="576" t="s">
        <v>456</v>
      </c>
      <c r="C63" s="576"/>
      <c r="D63" s="576"/>
      <c r="E63" s="576"/>
      <c r="F63" s="576"/>
      <c r="G63" s="576"/>
      <c r="H63" s="576"/>
      <c r="I63" s="576"/>
      <c r="J63" s="576"/>
      <c r="K63" s="576"/>
      <c r="L63" s="576"/>
      <c r="M63" s="576"/>
      <c r="N63" s="576"/>
      <c r="O63" s="576"/>
      <c r="P63" s="112"/>
    </row>
    <row r="64" spans="1:31" ht="12.75" customHeight="1">
      <c r="B64" s="576"/>
      <c r="C64" s="576"/>
      <c r="D64" s="576"/>
      <c r="E64" s="576"/>
      <c r="F64" s="576"/>
      <c r="G64" s="576"/>
      <c r="H64" s="576"/>
      <c r="I64" s="576"/>
      <c r="J64" s="576"/>
      <c r="K64" s="576"/>
      <c r="L64" s="576"/>
      <c r="M64" s="576"/>
      <c r="N64" s="576"/>
      <c r="O64" s="576"/>
      <c r="P64" s="112"/>
    </row>
    <row r="65" spans="1:26" ht="12.75" customHeight="1">
      <c r="B65" s="576"/>
      <c r="C65" s="576"/>
      <c r="D65" s="576"/>
      <c r="E65" s="576"/>
      <c r="F65" s="576"/>
      <c r="G65" s="576"/>
      <c r="H65" s="576"/>
      <c r="I65" s="576"/>
      <c r="J65" s="576"/>
      <c r="K65" s="576"/>
      <c r="L65" s="576"/>
      <c r="M65" s="576"/>
      <c r="N65" s="576"/>
      <c r="O65" s="576"/>
      <c r="P65" s="112"/>
    </row>
    <row r="66" spans="1:26" ht="12.75" customHeight="1">
      <c r="B66" s="576"/>
      <c r="C66" s="576"/>
      <c r="D66" s="576"/>
      <c r="E66" s="576"/>
      <c r="F66" s="576"/>
      <c r="G66" s="576"/>
      <c r="H66" s="576"/>
      <c r="I66" s="576"/>
      <c r="J66" s="576"/>
      <c r="K66" s="576"/>
      <c r="L66" s="576"/>
      <c r="M66" s="576"/>
      <c r="N66" s="576"/>
      <c r="O66" s="576"/>
      <c r="P66" s="112"/>
    </row>
    <row r="67" spans="1:26" ht="12.75" customHeight="1">
      <c r="B67" s="576"/>
      <c r="C67" s="576"/>
      <c r="D67" s="576"/>
      <c r="E67" s="576"/>
      <c r="F67" s="576"/>
      <c r="G67" s="576"/>
      <c r="H67" s="576"/>
      <c r="I67" s="576"/>
      <c r="J67" s="576"/>
      <c r="K67" s="576"/>
      <c r="L67" s="576"/>
      <c r="M67" s="576"/>
      <c r="N67" s="576"/>
      <c r="O67" s="576"/>
      <c r="P67" s="112"/>
    </row>
    <row r="68" spans="1:26" ht="18" customHeight="1">
      <c r="B68" s="576"/>
      <c r="C68" s="576"/>
      <c r="D68" s="576"/>
      <c r="E68" s="576"/>
      <c r="F68" s="576"/>
      <c r="G68" s="576"/>
      <c r="H68" s="576"/>
      <c r="I68" s="576"/>
      <c r="J68" s="576"/>
      <c r="K68" s="576"/>
      <c r="L68" s="576"/>
      <c r="M68" s="576"/>
      <c r="N68" s="576"/>
      <c r="O68" s="576"/>
      <c r="P68" s="112"/>
    </row>
    <row r="69" spans="1:26" ht="12.75" customHeight="1">
      <c r="B69" s="113"/>
      <c r="C69" s="113"/>
      <c r="D69" s="113"/>
      <c r="E69" s="113"/>
      <c r="F69" s="113"/>
      <c r="G69" s="113"/>
      <c r="H69" s="113"/>
      <c r="I69" s="113"/>
      <c r="J69" s="113"/>
      <c r="K69" s="113"/>
      <c r="L69" s="113"/>
      <c r="M69" s="113"/>
      <c r="N69" s="113"/>
      <c r="O69" s="113"/>
      <c r="P69" s="112"/>
    </row>
    <row r="70" spans="1:26" ht="12.75">
      <c r="B70" s="468" t="s">
        <v>245</v>
      </c>
      <c r="C70" s="468"/>
      <c r="D70" s="468"/>
      <c r="E70" s="468"/>
      <c r="F70" s="468"/>
      <c r="G70" s="468"/>
      <c r="H70"/>
      <c r="M70" s="114"/>
      <c r="N70" s="115"/>
      <c r="V70" s="116"/>
      <c r="W70" s="116"/>
      <c r="X70" s="116"/>
      <c r="Y70" s="116"/>
      <c r="Z70" s="116"/>
    </row>
    <row r="71" spans="1:26" ht="12.75" customHeight="1">
      <c r="B71"/>
      <c r="C71"/>
      <c r="D71"/>
      <c r="E71" s="114"/>
      <c r="F71" s="117" t="s">
        <v>138</v>
      </c>
      <c r="G71" s="118" t="s">
        <v>137</v>
      </c>
      <c r="H71" s="119"/>
      <c r="M71" s="114"/>
      <c r="N71" s="115"/>
      <c r="R71" s="114"/>
    </row>
    <row r="72" spans="1:26" ht="12.75">
      <c r="B72" t="s">
        <v>148</v>
      </c>
      <c r="C72"/>
      <c r="D72"/>
      <c r="E72" s="120"/>
      <c r="F72" s="121">
        <f>'Data Entry'!I39*0.06</f>
        <v>6</v>
      </c>
      <c r="G72" s="122">
        <f>'Data Entry'!I38*0.04</f>
        <v>4</v>
      </c>
      <c r="H72" s="123"/>
      <c r="N72" s="124"/>
      <c r="R72" s="120"/>
    </row>
    <row r="73" spans="1:26" ht="12.75" customHeight="1">
      <c r="B73" t="s">
        <v>149</v>
      </c>
      <c r="C73"/>
      <c r="D73"/>
      <c r="E73" s="120"/>
      <c r="F73" s="121">
        <f>'Data Entry'!J39*0.06*0.95</f>
        <v>0</v>
      </c>
      <c r="G73" s="122">
        <f>'Data Entry'!J38*0.04*0.95</f>
        <v>0</v>
      </c>
      <c r="H73" s="123"/>
      <c r="M73" s="114"/>
      <c r="N73" s="115"/>
      <c r="Q73"/>
      <c r="R73" s="120"/>
    </row>
    <row r="74" spans="1:26" ht="12.75" customHeight="1">
      <c r="B74" t="s">
        <v>150</v>
      </c>
      <c r="C74" s="125"/>
      <c r="D74" s="125"/>
      <c r="E74" s="120"/>
      <c r="F74" s="121">
        <f>'Data Entry'!K39*0.06*0.85</f>
        <v>0</v>
      </c>
      <c r="G74" s="122">
        <f>'Data Entry'!K38*0.04*0.85</f>
        <v>0</v>
      </c>
      <c r="H74" s="123"/>
      <c r="I74"/>
      <c r="L74" t="s">
        <v>138</v>
      </c>
      <c r="M74" s="126" t="s">
        <v>0</v>
      </c>
      <c r="N74" s="127">
        <f>'BSA55'!H50*F75</f>
        <v>29488.26</v>
      </c>
      <c r="Q74" s="114"/>
      <c r="R74" s="120"/>
    </row>
    <row r="75" spans="1:26" ht="12.75">
      <c r="B75" t="s">
        <v>80</v>
      </c>
      <c r="C75" s="125"/>
      <c r="D75" s="125"/>
      <c r="E75" s="120"/>
      <c r="F75" s="121">
        <f>SUM(F72:F74)</f>
        <v>6</v>
      </c>
      <c r="G75" s="122">
        <f>SUM(G72:G74)</f>
        <v>4</v>
      </c>
      <c r="H75" s="123"/>
      <c r="I75"/>
      <c r="L75" t="s">
        <v>137</v>
      </c>
      <c r="M75" s="126" t="s">
        <v>0</v>
      </c>
      <c r="N75" s="128">
        <f>'BSA55'!H50*G75</f>
        <v>19658.84</v>
      </c>
      <c r="P75"/>
      <c r="Q75" s="120"/>
      <c r="R75" s="120"/>
    </row>
    <row r="76" spans="1:26" ht="12.75" customHeight="1">
      <c r="B76" s="125"/>
      <c r="C76" s="125"/>
      <c r="D76" s="125"/>
      <c r="E76"/>
      <c r="F76" s="125"/>
      <c r="G76" s="125"/>
      <c r="H76" s="125"/>
      <c r="I76"/>
      <c r="M76" s="114"/>
      <c r="N76" s="115"/>
      <c r="P76"/>
      <c r="Q76" s="120"/>
    </row>
    <row r="77" spans="1:26" ht="12.75" customHeight="1">
      <c r="A77" s="129"/>
      <c r="B77" s="575" t="s">
        <v>151</v>
      </c>
      <c r="C77" s="575"/>
      <c r="D77" s="575"/>
      <c r="E77" s="575"/>
      <c r="F77" s="575"/>
      <c r="G77" s="575"/>
      <c r="H77" s="125"/>
      <c r="I77"/>
      <c r="M77" s="114"/>
      <c r="N77" s="115"/>
      <c r="P77"/>
      <c r="Q77" s="120"/>
    </row>
    <row r="78" spans="1:26" ht="12.75">
      <c r="A78" s="130"/>
      <c r="B78" s="575"/>
      <c r="C78" s="575"/>
      <c r="D78" s="575"/>
      <c r="E78" s="575"/>
      <c r="F78" s="575"/>
      <c r="G78" s="575"/>
      <c r="H78"/>
      <c r="I78"/>
      <c r="M78" s="114"/>
      <c r="N78" s="115"/>
      <c r="P78"/>
      <c r="Q78" s="120"/>
    </row>
    <row r="79" spans="1:26" ht="12.75" customHeight="1">
      <c r="A79" s="130"/>
      <c r="B79" s="130"/>
      <c r="C79" s="130"/>
      <c r="M79" s="131"/>
      <c r="N79" s="132"/>
      <c r="P79" s="495"/>
      <c r="Q79" s="495"/>
      <c r="R79" s="495"/>
    </row>
    <row r="80" spans="1:26" ht="12.75" customHeight="1">
      <c r="A80" s="130"/>
      <c r="B80" s="130"/>
      <c r="C80" s="130"/>
      <c r="D80"/>
      <c r="F80" s="103"/>
      <c r="G80"/>
      <c r="H80"/>
      <c r="I80"/>
      <c r="L80"/>
      <c r="M80" s="114"/>
      <c r="N80" s="134"/>
      <c r="P80" s="495"/>
      <c r="Q80" s="495"/>
      <c r="R80" s="495"/>
    </row>
    <row r="81" spans="1:25" ht="12.75">
      <c r="A81" s="130"/>
      <c r="B81" s="130"/>
      <c r="C81" s="130"/>
      <c r="L81"/>
      <c r="M81" s="114"/>
      <c r="N81" s="134"/>
      <c r="P81" s="133"/>
      <c r="Q81" s="133"/>
      <c r="R81" s="133"/>
    </row>
    <row r="82" spans="1:25" ht="12.75">
      <c r="A82" s="130"/>
      <c r="B82" s="130"/>
      <c r="C82" s="130"/>
      <c r="L82"/>
      <c r="M82" s="114"/>
      <c r="N82" s="132"/>
      <c r="P82" s="133"/>
      <c r="Q82" s="133"/>
      <c r="R82" s="133"/>
    </row>
    <row r="83" spans="1:25" ht="12.75">
      <c r="A83" s="102" t="s">
        <v>265</v>
      </c>
      <c r="B83" s="102"/>
      <c r="C83" s="102"/>
      <c r="D83" s="102"/>
      <c r="E83" s="102"/>
      <c r="F83" s="102"/>
      <c r="G83" s="102"/>
      <c r="H83" s="102"/>
      <c r="I83" s="102"/>
      <c r="J83" s="102"/>
      <c r="K83" s="102"/>
      <c r="L83" s="102"/>
      <c r="N83" s="115"/>
      <c r="W83" s="135"/>
    </row>
    <row r="84" spans="1:25" ht="12.75" customHeight="1">
      <c r="A84" s="574" t="s">
        <v>460</v>
      </c>
      <c r="B84" s="574"/>
      <c r="C84" s="574"/>
      <c r="D84" s="574"/>
      <c r="E84" s="574"/>
      <c r="F84" s="574"/>
      <c r="G84" s="574"/>
      <c r="H84" s="574"/>
      <c r="I84" s="574"/>
      <c r="J84" s="574"/>
      <c r="K84" s="574"/>
      <c r="L84" s="574"/>
      <c r="M84" s="574"/>
      <c r="N84" s="574"/>
      <c r="O84" s="574"/>
      <c r="W84" s="135"/>
    </row>
    <row r="85" spans="1:25" ht="12.75" customHeight="1">
      <c r="A85" s="574"/>
      <c r="B85" s="574"/>
      <c r="C85" s="574"/>
      <c r="D85" s="574"/>
      <c r="E85" s="574"/>
      <c r="F85" s="574"/>
      <c r="G85" s="574"/>
      <c r="H85" s="574"/>
      <c r="I85" s="574"/>
      <c r="J85" s="574"/>
      <c r="K85" s="574"/>
      <c r="L85" s="574"/>
      <c r="M85" s="574"/>
      <c r="N85" s="574"/>
      <c r="O85" s="574"/>
      <c r="W85" s="135"/>
    </row>
    <row r="86" spans="1:25" ht="12.75" customHeight="1">
      <c r="A86" s="574"/>
      <c r="B86" s="574"/>
      <c r="C86" s="574"/>
      <c r="D86" s="574"/>
      <c r="E86" s="574"/>
      <c r="F86" s="574"/>
      <c r="G86" s="574"/>
      <c r="H86" s="574"/>
      <c r="I86" s="574"/>
      <c r="J86" s="574"/>
      <c r="K86" s="574"/>
      <c r="L86" s="574"/>
      <c r="M86" s="574"/>
      <c r="N86" s="574"/>
      <c r="O86" s="574"/>
      <c r="W86" s="135"/>
    </row>
    <row r="87" spans="1:25" ht="12.75" customHeight="1">
      <c r="A87" s="574"/>
      <c r="B87" s="574"/>
      <c r="C87" s="574"/>
      <c r="D87" s="574"/>
      <c r="E87" s="574"/>
      <c r="F87" s="574"/>
      <c r="G87" s="574"/>
      <c r="H87" s="574"/>
      <c r="I87" s="574"/>
      <c r="J87" s="574"/>
      <c r="K87" s="574"/>
      <c r="L87" s="574"/>
      <c r="M87" s="574"/>
      <c r="N87" s="574"/>
      <c r="O87" s="574"/>
      <c r="W87" s="135"/>
    </row>
    <row r="88" spans="1:25" ht="12.75">
      <c r="A88" s="42"/>
      <c r="B88" s="42"/>
      <c r="C88" s="42"/>
      <c r="D88" s="42"/>
      <c r="E88" s="42"/>
      <c r="F88" s="42"/>
      <c r="G88" s="42"/>
      <c r="H88" s="42"/>
      <c r="I88" s="42"/>
      <c r="J88" s="42"/>
      <c r="K88" s="42"/>
      <c r="L88" s="42"/>
      <c r="N88" s="115"/>
      <c r="W88" s="135"/>
    </row>
    <row r="89" spans="1:25" ht="12.75">
      <c r="B89" s="136">
        <v>1</v>
      </c>
      <c r="C89" t="s">
        <v>282</v>
      </c>
      <c r="D89"/>
      <c r="E89"/>
      <c r="F89"/>
      <c r="M89" s="126" t="s">
        <v>0</v>
      </c>
      <c r="N89" s="127">
        <f>75000000*'Data Entry'!N82</f>
        <v>0</v>
      </c>
      <c r="T89" s="131"/>
      <c r="X89" s="577"/>
      <c r="Y89" s="577"/>
    </row>
    <row r="90" spans="1:25" ht="12.75">
      <c r="B90" s="103"/>
      <c r="C90"/>
      <c r="D90"/>
      <c r="E90"/>
      <c r="F90"/>
      <c r="N90" s="115"/>
    </row>
    <row r="92" spans="1:25" ht="15" customHeight="1">
      <c r="A92" s="102" t="s">
        <v>473</v>
      </c>
      <c r="B92" s="102"/>
      <c r="C92" s="102"/>
      <c r="D92" s="102"/>
      <c r="E92" s="102"/>
      <c r="F92" s="102"/>
      <c r="G92" s="102"/>
      <c r="H92" s="102"/>
      <c r="I92" s="102"/>
      <c r="J92" s="102"/>
      <c r="K92" s="102"/>
      <c r="L92" s="102"/>
      <c r="N92" s="115"/>
    </row>
    <row r="93" spans="1:25" ht="12" customHeight="1">
      <c r="A93" s="574" t="s">
        <v>517</v>
      </c>
      <c r="B93" s="574"/>
      <c r="C93" s="574"/>
      <c r="D93" s="574"/>
      <c r="E93" s="574"/>
      <c r="F93" s="574"/>
      <c r="G93" s="574"/>
      <c r="H93" s="574"/>
      <c r="I93" s="574"/>
      <c r="J93" s="574"/>
      <c r="K93" s="574"/>
      <c r="L93" s="574"/>
      <c r="M93" s="574"/>
      <c r="N93" s="574"/>
      <c r="O93" s="574"/>
    </row>
    <row r="94" spans="1:25" ht="12" customHeight="1">
      <c r="A94" s="574"/>
      <c r="B94" s="574"/>
      <c r="C94" s="574"/>
      <c r="D94" s="574"/>
      <c r="E94" s="574"/>
      <c r="F94" s="574"/>
      <c r="G94" s="574"/>
      <c r="H94" s="574"/>
      <c r="I94" s="574"/>
      <c r="J94" s="574"/>
      <c r="K94" s="574"/>
      <c r="L94" s="574"/>
      <c r="M94" s="574"/>
      <c r="N94" s="574"/>
      <c r="O94" s="574"/>
    </row>
    <row r="95" spans="1:25" ht="12" customHeight="1">
      <c r="A95" s="574"/>
      <c r="B95" s="574"/>
      <c r="C95" s="574"/>
      <c r="D95" s="574"/>
      <c r="E95" s="574"/>
      <c r="F95" s="574"/>
      <c r="G95" s="574"/>
      <c r="H95" s="574"/>
      <c r="I95" s="574"/>
      <c r="J95" s="574"/>
      <c r="K95" s="574"/>
      <c r="L95" s="574"/>
      <c r="M95" s="574"/>
      <c r="N95" s="574"/>
      <c r="O95" s="574"/>
    </row>
    <row r="96" spans="1:25" ht="21" customHeight="1">
      <c r="A96" s="574"/>
      <c r="B96" s="574"/>
      <c r="C96" s="574"/>
      <c r="D96" s="574"/>
      <c r="E96" s="574"/>
      <c r="F96" s="574"/>
      <c r="G96" s="574"/>
      <c r="H96" s="574"/>
      <c r="I96" s="574"/>
      <c r="J96" s="574"/>
      <c r="K96" s="574"/>
      <c r="L96" s="574"/>
      <c r="M96" s="574"/>
      <c r="N96" s="574"/>
      <c r="O96" s="574"/>
    </row>
    <row r="97" spans="1:14" ht="12.75">
      <c r="A97" s="42"/>
      <c r="B97" s="42"/>
      <c r="C97" s="42"/>
      <c r="D97" s="42"/>
      <c r="E97" s="42"/>
      <c r="F97" s="42"/>
      <c r="G97" s="42"/>
      <c r="H97" s="42"/>
      <c r="I97" s="42"/>
      <c r="J97" s="42"/>
      <c r="K97" s="42"/>
      <c r="L97" s="42"/>
      <c r="N97" s="115"/>
    </row>
    <row r="98" spans="1:14" ht="12.75">
      <c r="B98" s="137">
        <v>2</v>
      </c>
      <c r="C98" t="s">
        <v>472</v>
      </c>
      <c r="D98"/>
      <c r="E98"/>
      <c r="F98"/>
      <c r="M98" s="126" t="s">
        <v>0</v>
      </c>
      <c r="N98" s="127">
        <f>300000000*'Data Entry'!N82</f>
        <v>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scale="85" fitToHeight="0"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D52EB3BC-54EE-4F39-AB4E-4448B149A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purl.org/dc/dcmitype/"/>
    <ds:schemaRef ds:uri="http://purl.org/dc/terms/"/>
    <ds:schemaRef ds:uri="http://purl.org/dc/elements/1.1/"/>
    <ds:schemaRef ds:uri="http://schemas.microsoft.com/office/2006/documentManagement/types"/>
    <ds:schemaRef ds:uri="8385876d-3ffd-449d-b709-a8df02b96ae7"/>
    <ds:schemaRef ds:uri="http://www.w3.org/XML/1998/namespace"/>
    <ds:schemaRef ds:uri="http://schemas.microsoft.com/office/infopath/2007/PartnerControls"/>
    <ds:schemaRef ds:uri="http://schemas.openxmlformats.org/package/2006/metadata/core-properties"/>
    <ds:schemaRef ds:uri="ffcdc2e4-c8f2-4bf7-ab1d-ea300bde3fd8"/>
    <ds:schemaRef ds:uri="http://schemas.microsoft.com/office/2006/metadata/properties"/>
    <ds:schemaRef ds:uri="588712f8-bc12-4b67-b29b-a9d0f63287e2"/>
    <ds:schemaRef ds:uri="d7c5e3bf-8d4c-41de-aaa1-f4451f02d99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cp:lastPrinted>2024-02-05T21:40:44Z</cp:lastPrinted>
  <dcterms:created xsi:type="dcterms:W3CDTF">1997-10-08T02:25:08Z</dcterms:created>
  <dcterms:modified xsi:type="dcterms:W3CDTF">2024-02-07T18:17:48Z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a2caf175-d5c0-427f-9e6f-67dc764e2782</vt:lpwstr>
  </property>
  <property fmtid="{D5CDD505-2E9C-101B-9397-08002B2CF9AE}" pid="8" name="MediaServiceImageTags">
    <vt:lpwstr/>
  </property>
</Properties>
</file>