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5 Budget/Adopted/"/>
    </mc:Choice>
  </mc:AlternateContent>
  <xr:revisionPtr revIDLastSave="205" documentId="13_ncr:1_{77B5950D-5CB6-4F8E-83FB-36188C6291DA}" xr6:coauthVersionLast="47" xr6:coauthVersionMax="47" xr10:uidLastSave="{0FC1360D-CBE1-47C5-B227-FBDD8D0AFAC3}"/>
  <bookViews>
    <workbookView xWindow="29460" yWindow="345" windowWidth="27060" windowHeight="14655"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Entry'!$N$87</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Entry'!$N$92</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 localSheetId="7">'Project balances'!$A$1:$H$35</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H22" i="2"/>
  <c r="D34" i="3" l="1"/>
  <c r="D31" i="3"/>
  <c r="M5" i="3"/>
  <c r="M37" i="11" a="1"/>
  <c r="M37" i="11" s="1"/>
  <c r="M32" i="11" a="1"/>
  <c r="M32" i="11" s="1"/>
  <c r="M38" i="11" a="1"/>
  <c r="M38" i="11" s="1"/>
  <c r="M22" i="11" a="1"/>
  <c r="M22" i="11" s="1"/>
  <c r="M33" i="11" a="1"/>
  <c r="M33" i="11" s="1"/>
  <c r="M30" i="11" a="1"/>
  <c r="M30" i="11" s="1"/>
  <c r="M42" i="11" a="1"/>
  <c r="M42" i="11" s="1"/>
  <c r="M17" i="11" a="1"/>
  <c r="M17" i="11" s="1"/>
  <c r="M9" i="11" a="1"/>
  <c r="M9" i="11" s="1"/>
  <c r="M11" i="11" a="1"/>
  <c r="M11" i="11" s="1"/>
  <c r="M14" i="11" a="1"/>
  <c r="M14" i="11" s="1"/>
  <c r="M21" i="11" a="1"/>
  <c r="M21" i="11" s="1"/>
  <c r="M34" i="11" a="1"/>
  <c r="M34" i="11" s="1"/>
  <c r="M12" i="11" a="1"/>
  <c r="M12" i="11" s="1"/>
  <c r="M16" i="11" a="1"/>
  <c r="M16" i="11" s="1"/>
  <c r="M13" i="11" a="1"/>
  <c r="M13" i="11" s="1"/>
  <c r="M15" i="11" a="1"/>
  <c r="M15" i="11" s="1"/>
  <c r="M35" i="11" a="1"/>
  <c r="M35" i="11" s="1"/>
  <c r="M36" i="11" a="1"/>
  <c r="M36" i="11" s="1"/>
  <c r="F42" i="11"/>
  <c r="F38" i="11"/>
  <c r="F37" i="11"/>
  <c r="F36" i="11"/>
  <c r="F35" i="11"/>
  <c r="F34" i="11"/>
  <c r="F33" i="11"/>
  <c r="F32" i="11"/>
  <c r="F30" i="11"/>
  <c r="F21" i="11"/>
  <c r="F17" i="11"/>
  <c r="F16" i="11"/>
  <c r="F15" i="11"/>
  <c r="F14" i="11"/>
  <c r="F13" i="11"/>
  <c r="F12" i="11"/>
  <c r="F11" i="11"/>
  <c r="F9" i="11"/>
  <c r="J10" i="9" a="1"/>
  <c r="J10" i="9" s="1"/>
  <c r="J11" i="9" a="1"/>
  <c r="J11" i="9" s="1"/>
  <c r="J9" i="9" a="1"/>
  <c r="J9" i="9" s="1"/>
  <c r="J8" i="9" a="1"/>
  <c r="J8" i="9" s="1"/>
  <c r="J12" i="9" a="1"/>
  <c r="J12" i="9" s="1"/>
  <c r="J13" i="9" a="1"/>
  <c r="J13"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R6" i="1"/>
  <c r="H57" i="21"/>
  <c r="H56" i="21"/>
  <c r="J44" i="2" l="1"/>
  <c r="H1" i="22" l="1"/>
  <c r="E1" i="22"/>
  <c r="B1" i="22"/>
  <c r="C25" i="22"/>
  <c r="C18" i="22"/>
  <c r="C15" i="22"/>
  <c r="H55" i="21"/>
  <c r="H54" i="21"/>
  <c r="E58" i="21" s="1"/>
  <c r="E51" i="21"/>
  <c r="G44" i="21"/>
  <c r="E44" i="21"/>
  <c r="A36"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0" i="21"/>
  <c r="C10" i="21"/>
  <c r="B10" i="21"/>
  <c r="D9" i="21"/>
  <c r="C9" i="21"/>
  <c r="B9" i="21"/>
  <c r="B8" i="21"/>
  <c r="A3" i="21"/>
  <c r="A60" i="21" s="1"/>
  <c r="I1" i="21"/>
  <c r="E1" i="21"/>
  <c r="B1" i="21"/>
  <c r="N89" i="16"/>
  <c r="F75" i="16"/>
  <c r="N74" i="16" s="1"/>
  <c r="G74" i="16"/>
  <c r="F74" i="16"/>
  <c r="G73" i="16"/>
  <c r="F73" i="16"/>
  <c r="G72" i="16"/>
  <c r="G75" i="16" s="1"/>
  <c r="N75" i="16" s="1"/>
  <c r="F72" i="16"/>
  <c r="N37" i="16"/>
  <c r="N40" i="16" s="1"/>
  <c r="L1" i="16"/>
  <c r="I1" i="16"/>
  <c r="E1" i="16"/>
  <c r="K54" i="18"/>
  <c r="J54" i="18"/>
  <c r="I54" i="18"/>
  <c r="L29" i="18"/>
  <c r="N45" i="16" s="1"/>
  <c r="I29" i="18"/>
  <c r="G29" i="18"/>
  <c r="L20" i="18"/>
  <c r="N20" i="16" s="1"/>
  <c r="I20" i="18"/>
  <c r="G20" i="18"/>
  <c r="J10" i="18"/>
  <c r="J9" i="18"/>
  <c r="J8" i="18"/>
  <c r="A6" i="18"/>
  <c r="N58" i="16" s="1"/>
  <c r="P1" i="18"/>
  <c r="L1" i="18"/>
  <c r="E1" i="18"/>
  <c r="H41" i="12"/>
  <c r="D40" i="12"/>
  <c r="E39" i="12"/>
  <c r="D39" i="12"/>
  <c r="F39" i="12" s="1"/>
  <c r="L38" i="12"/>
  <c r="E38" i="12"/>
  <c r="D38" i="12"/>
  <c r="F38" i="12" s="1"/>
  <c r="L37" i="12"/>
  <c r="M35" i="12" s="1"/>
  <c r="D37" i="12"/>
  <c r="E34" i="12"/>
  <c r="D34" i="12"/>
  <c r="F34" i="12" s="1"/>
  <c r="E33" i="12"/>
  <c r="D33" i="12"/>
  <c r="F33" i="12" s="1"/>
  <c r="E32" i="12"/>
  <c r="D32" i="12"/>
  <c r="F32" i="12" s="1"/>
  <c r="K31" i="12"/>
  <c r="E31" i="12"/>
  <c r="D31" i="12"/>
  <c r="F31" i="12" s="1"/>
  <c r="E30" i="12"/>
  <c r="D30" i="12"/>
  <c r="F30" i="12" s="1"/>
  <c r="K29" i="12"/>
  <c r="J29" i="12"/>
  <c r="L29" i="12" s="1"/>
  <c r="E29" i="12"/>
  <c r="D29" i="12"/>
  <c r="F29" i="12" s="1"/>
  <c r="K28" i="12"/>
  <c r="J28" i="12"/>
  <c r="L28" i="12" s="1"/>
  <c r="D28" i="12"/>
  <c r="F28" i="12" s="1"/>
  <c r="J27" i="12"/>
  <c r="E27" i="12"/>
  <c r="D27" i="12"/>
  <c r="F27" i="12" s="1"/>
  <c r="J26" i="12"/>
  <c r="E26" i="12"/>
  <c r="D26" i="12"/>
  <c r="D25" i="12"/>
  <c r="D23" i="12"/>
  <c r="D20" i="12"/>
  <c r="E19" i="12"/>
  <c r="D19" i="12"/>
  <c r="F19" i="12" s="1"/>
  <c r="L18" i="12"/>
  <c r="K18" i="12"/>
  <c r="M18" i="12" s="1"/>
  <c r="E18" i="12"/>
  <c r="D18" i="12"/>
  <c r="F18" i="12" s="1"/>
  <c r="L17" i="12"/>
  <c r="K17" i="12"/>
  <c r="M17" i="12" s="1"/>
  <c r="E17" i="12"/>
  <c r="D17" i="12"/>
  <c r="F17" i="12" s="1"/>
  <c r="L16" i="12"/>
  <c r="K16" i="12"/>
  <c r="M16" i="12" s="1"/>
  <c r="E16" i="12"/>
  <c r="D16" i="12"/>
  <c r="F16" i="12" s="1"/>
  <c r="L15" i="12"/>
  <c r="K15" i="12"/>
  <c r="M15" i="12" s="1"/>
  <c r="D15" i="12"/>
  <c r="L14" i="12"/>
  <c r="K14" i="12"/>
  <c r="M14" i="12" s="1"/>
  <c r="E14" i="12"/>
  <c r="D14" i="12"/>
  <c r="F14" i="12" s="1"/>
  <c r="L13" i="12"/>
  <c r="K13" i="12"/>
  <c r="M13" i="12" s="1"/>
  <c r="D13" i="12"/>
  <c r="K12" i="12"/>
  <c r="D12" i="12"/>
  <c r="D11" i="12"/>
  <c r="E10" i="12"/>
  <c r="D10" i="12"/>
  <c r="F10" i="12" s="1"/>
  <c r="D9" i="12"/>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H44" i="2" s="1"/>
  <c r="G13" i="9"/>
  <c r="G44" i="2" s="1"/>
  <c r="F13" i="9"/>
  <c r="L12" i="9"/>
  <c r="K12" i="9"/>
  <c r="L11" i="9"/>
  <c r="K11" i="9"/>
  <c r="L10" i="9"/>
  <c r="K10" i="9"/>
  <c r="L9" i="9"/>
  <c r="K9" i="9"/>
  <c r="K8" i="9"/>
  <c r="L8" i="9" s="1"/>
  <c r="L1" i="9"/>
  <c r="G1" i="9"/>
  <c r="D1" i="9"/>
  <c r="E46" i="3"/>
  <c r="K32" i="12" s="1"/>
  <c r="D46" i="3"/>
  <c r="J32" i="12" s="1"/>
  <c r="L32" i="12" s="1"/>
  <c r="E36" i="3"/>
  <c r="D36" i="3"/>
  <c r="J31" i="12" s="1"/>
  <c r="L31" i="12" s="1"/>
  <c r="N25" i="3"/>
  <c r="M25" i="3"/>
  <c r="E22" i="3"/>
  <c r="E37" i="3" s="1"/>
  <c r="L48" i="2" s="1"/>
  <c r="M48" i="2" s="1"/>
  <c r="D22" i="3"/>
  <c r="M12" i="3"/>
  <c r="N1" i="3"/>
  <c r="I1" i="3"/>
  <c r="C1" i="3"/>
  <c r="M47" i="2"/>
  <c r="L47" i="2"/>
  <c r="J47" i="2"/>
  <c r="I47" i="2"/>
  <c r="H47" i="2"/>
  <c r="G47" i="2"/>
  <c r="F47" i="2"/>
  <c r="M46" i="2"/>
  <c r="L46" i="2"/>
  <c r="J46" i="2"/>
  <c r="I46" i="2"/>
  <c r="H46" i="2"/>
  <c r="G46" i="2"/>
  <c r="F46" i="2"/>
  <c r="L45" i="2"/>
  <c r="K27" i="12" s="1"/>
  <c r="I44" i="2"/>
  <c r="L42" i="2"/>
  <c r="E40" i="12" s="1"/>
  <c r="M41" i="2"/>
  <c r="L41" i="2"/>
  <c r="M40" i="2"/>
  <c r="L40" i="2"/>
  <c r="L39" i="2"/>
  <c r="E37" i="12" s="1"/>
  <c r="K37" i="2"/>
  <c r="J37" i="2"/>
  <c r="I37" i="2"/>
  <c r="H37" i="2"/>
  <c r="G37" i="2"/>
  <c r="F37" i="2"/>
  <c r="M36" i="2"/>
  <c r="L36" i="2"/>
  <c r="M35" i="2"/>
  <c r="L35" i="2"/>
  <c r="M34" i="2"/>
  <c r="L34" i="2"/>
  <c r="M33" i="2"/>
  <c r="L33" i="2"/>
  <c r="M32" i="2"/>
  <c r="L32" i="2"/>
  <c r="M31" i="2"/>
  <c r="L31" i="2"/>
  <c r="M30" i="2"/>
  <c r="L30" i="2"/>
  <c r="E28" i="12" s="1"/>
  <c r="M29" i="2"/>
  <c r="L29" i="2"/>
  <c r="L28" i="2"/>
  <c r="M28" i="2" s="1"/>
  <c r="L27" i="2"/>
  <c r="E25" i="12" s="1"/>
  <c r="L25" i="2"/>
  <c r="M25" i="2" s="1"/>
  <c r="K23" i="2"/>
  <c r="J23" i="2"/>
  <c r="J43" i="2" s="1"/>
  <c r="J49" i="2" s="1"/>
  <c r="I23" i="2"/>
  <c r="H23" i="2"/>
  <c r="G23" i="2"/>
  <c r="F23" i="2"/>
  <c r="L22" i="2"/>
  <c r="E20" i="12" s="1"/>
  <c r="M21" i="2"/>
  <c r="L21" i="2"/>
  <c r="M20" i="2"/>
  <c r="L20" i="2"/>
  <c r="M19" i="2"/>
  <c r="L19" i="2"/>
  <c r="M18" i="2"/>
  <c r="L18" i="2"/>
  <c r="L17" i="2"/>
  <c r="M17" i="2" s="1"/>
  <c r="M16" i="2"/>
  <c r="L16" i="2"/>
  <c r="L15" i="2"/>
  <c r="E13" i="12" s="1"/>
  <c r="L14" i="2"/>
  <c r="E12" i="12" s="1"/>
  <c r="L13" i="2"/>
  <c r="M13" i="2" s="1"/>
  <c r="M12" i="2"/>
  <c r="L12" i="2"/>
  <c r="L11" i="2"/>
  <c r="M11" i="2" s="1"/>
  <c r="L10" i="2"/>
  <c r="M10" i="2" s="1"/>
  <c r="L8" i="2"/>
  <c r="M1" i="2"/>
  <c r="I1" i="2"/>
  <c r="D1" i="2"/>
  <c r="H1" i="14"/>
  <c r="F1" i="14"/>
  <c r="B1" i="14"/>
  <c r="R34" i="1"/>
  <c r="R35" i="1" s="1"/>
  <c r="L40" i="12" s="1"/>
  <c r="S32" i="1"/>
  <c r="L30" i="1"/>
  <c r="L25" i="1"/>
  <c r="I22" i="1"/>
  <c r="I21" i="1"/>
  <c r="I20" i="1"/>
  <c r="R13" i="1"/>
  <c r="L5" i="1"/>
  <c r="L4" i="1"/>
  <c r="E8" i="12" l="1"/>
  <c r="F8" i="12" s="1"/>
  <c r="E6" i="12"/>
  <c r="F6" i="12" s="1"/>
  <c r="N30" i="3"/>
  <c r="L39" i="12"/>
  <c r="K30" i="12"/>
  <c r="M45" i="2"/>
  <c r="L27" i="12"/>
  <c r="K13" i="9"/>
  <c r="L13" i="9" s="1"/>
  <c r="F44" i="2"/>
  <c r="L44" i="2" s="1"/>
  <c r="M44" i="2" s="1"/>
  <c r="M22" i="2"/>
  <c r="F20" i="12"/>
  <c r="F40" i="12"/>
  <c r="M42" i="2"/>
  <c r="F26" i="12"/>
  <c r="M27" i="2"/>
  <c r="F25" i="12"/>
  <c r="I43" i="2"/>
  <c r="I49" i="2" s="1"/>
  <c r="H43" i="2"/>
  <c r="H49" i="2" s="1"/>
  <c r="L37" i="2"/>
  <c r="G43" i="2"/>
  <c r="G49" i="2" s="1"/>
  <c r="F43" i="2"/>
  <c r="E23" i="12"/>
  <c r="E35" i="12" s="1"/>
  <c r="E15" i="12"/>
  <c r="F15" i="12" s="1"/>
  <c r="M39" i="2"/>
  <c r="F37" i="12"/>
  <c r="M15" i="2"/>
  <c r="F13" i="12"/>
  <c r="M14" i="2"/>
  <c r="F12" i="12"/>
  <c r="E11" i="12"/>
  <c r="F11" i="12" s="1"/>
  <c r="E9" i="12"/>
  <c r="F9" i="12" s="1"/>
  <c r="M8" i="2"/>
  <c r="L23" i="2"/>
  <c r="M23" i="2" s="1"/>
  <c r="H35" i="21"/>
  <c r="C44" i="21"/>
  <c r="L58" i="16"/>
  <c r="B32" i="21"/>
  <c r="D33" i="21" s="1"/>
  <c r="F34" i="21"/>
  <c r="D11" i="21"/>
  <c r="C11" i="21"/>
  <c r="N50" i="16"/>
  <c r="N48" i="16"/>
  <c r="N46" i="16"/>
  <c r="N42" i="16"/>
  <c r="N38" i="16"/>
  <c r="L45" i="16"/>
  <c r="L37" i="16"/>
  <c r="C66" i="21"/>
  <c r="C68" i="21" s="1"/>
  <c r="E8" i="21"/>
  <c r="N12" i="16"/>
  <c r="N25" i="16"/>
  <c r="N23" i="16"/>
  <c r="N21" i="16"/>
  <c r="G66" i="21"/>
  <c r="G68" i="21" s="1"/>
  <c r="B11" i="21"/>
  <c r="D12" i="21" s="1"/>
  <c r="M43" i="11"/>
  <c r="O43" i="11" s="1"/>
  <c r="D37" i="3"/>
  <c r="J30" i="12"/>
  <c r="D21" i="12"/>
  <c r="K43" i="2"/>
  <c r="K49" i="2" s="1"/>
  <c r="D35" i="12"/>
  <c r="K19" i="12"/>
  <c r="L20" i="16"/>
  <c r="L23" i="16" s="1"/>
  <c r="L12" i="16"/>
  <c r="E66" i="21"/>
  <c r="E68" i="21" s="1"/>
  <c r="F49" i="2" l="1"/>
  <c r="N5" i="3"/>
  <c r="L30" i="12"/>
  <c r="K26" i="12"/>
  <c r="L26" i="12" s="1"/>
  <c r="M37" i="2"/>
  <c r="L43" i="2"/>
  <c r="K25" i="12" s="1"/>
  <c r="F23" i="12"/>
  <c r="F35" i="12"/>
  <c r="E21" i="12"/>
  <c r="E41" i="12" s="1"/>
  <c r="H73" i="21"/>
  <c r="N13" i="16"/>
  <c r="N15" i="16" s="1"/>
  <c r="N17" i="16" s="1"/>
  <c r="N57" i="16" s="1"/>
  <c r="L21" i="16"/>
  <c r="L50" i="16"/>
  <c r="L48" i="16"/>
  <c r="L46" i="16"/>
  <c r="L42" i="16"/>
  <c r="L38" i="16"/>
  <c r="L40" i="16"/>
  <c r="H8" i="21"/>
  <c r="G8" i="21"/>
  <c r="F8" i="21"/>
  <c r="C77" i="21"/>
  <c r="D41" i="12"/>
  <c r="J25" i="12"/>
  <c r="J33" i="12" s="1"/>
  <c r="H69" i="21"/>
  <c r="L25" i="16"/>
  <c r="L13" i="16"/>
  <c r="L15" i="16" s="1"/>
  <c r="L17" i="16" s="1"/>
  <c r="L57" i="16" s="1"/>
  <c r="L12" i="12" l="1"/>
  <c r="N12" i="3"/>
  <c r="P12" i="3"/>
  <c r="K33" i="12"/>
  <c r="L33" i="12" s="1"/>
  <c r="L49" i="2"/>
  <c r="M49" i="2" s="1"/>
  <c r="M43" i="2"/>
  <c r="F41" i="12"/>
  <c r="F21" i="12"/>
  <c r="E10" i="21"/>
  <c r="N59" i="16"/>
  <c r="E9" i="21"/>
  <c r="L59" i="16"/>
  <c r="L25" i="12"/>
  <c r="L19" i="12" l="1"/>
  <c r="M19" i="12" s="1"/>
  <c r="M12" i="12"/>
  <c r="F10" i="21"/>
  <c r="G10" i="21"/>
  <c r="H10" i="21"/>
  <c r="G45" i="21"/>
  <c r="F13" i="21"/>
  <c r="E47" i="21"/>
  <c r="H51" i="21"/>
  <c r="C58" i="21" s="1"/>
  <c r="H58" i="21" s="1"/>
  <c r="C76" i="21" s="1"/>
  <c r="C78" i="21" s="1"/>
  <c r="H79" i="21" s="1"/>
  <c r="H82" i="21" s="1"/>
  <c r="G43" i="21"/>
  <c r="H49" i="21"/>
  <c r="C51" i="21" s="1"/>
  <c r="E43" i="21"/>
  <c r="G9" i="21"/>
  <c r="H14" i="21"/>
  <c r="G47" i="21"/>
  <c r="C43" i="21"/>
  <c r="E45" i="21"/>
  <c r="H13" i="21"/>
  <c r="G13" i="21"/>
  <c r="C45" i="21"/>
  <c r="F9" i="21"/>
  <c r="C47" i="21"/>
  <c r="H9"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<sst xmlns="http://schemas.openxmlformats.org/spreadsheetml/2006/main" count="1046" uniqueCount="614">
  <si>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</si>
  <si>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</si>
  <si>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</si>
  <si>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</si>
  <si>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</si>
  <si>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</si>
  <si>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</si>
  <si>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</si>
  <si>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</si>
  <si>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</si>
  <si>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</si>
  <si>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</si>
  <si>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</si>
  <si>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</si>
  <si>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</si>
  <si>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</si>
  <si>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</si>
  <si>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</si>
  <si>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</si>
  <si>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</si>
  <si>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</si>
  <si>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</si>
  <si>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</si>
  <si>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</si>
  <si>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</si>
  <si>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</si>
  <si>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</si>
  <si>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</si>
  <si>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</si>
  <si>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</si>
  <si>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</si>
  <si>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</si>
  <si>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</si>
  <si>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</si>
  <si>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</si>
  <si>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</si>
  <si>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</si>
  <si>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</si>
  <si>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</si>
  <si>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</si>
  <si>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</si>
  <si>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</si>
  <si>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</si>
  <si>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</si>
  <si>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</si>
  <si>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</si>
  <si>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</si>
  <si>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</si>
  <si>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</si>
  <si>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</si>
  <si>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</si>
  <si>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</si>
  <si>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</si>
  <si>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</si>
  <si>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</si>
  <si>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</si>
  <si>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</si>
  <si>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</si>
  <si>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</si>
  <si>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</si>
  <si>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</si>
  <si>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</si>
  <si>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</si>
  <si>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</si>
  <si>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</si>
  <si>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</si>
  <si>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</si>
  <si>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</si>
  <si>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</si>
  <si>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</si>
  <si>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</si>
  <si>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</si>
  <si>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</si>
  <si>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</si>
  <si>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</si>
  <si>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</si>
  <si>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</si>
  <si>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</si>
  <si>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</si>
  <si>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</si>
  <si>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</si>
  <si>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</si>
  <si>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</si>
  <si>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</si>
  <si>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</si>
  <si>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</si>
  <si>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</si>
  <si>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</si>
  <si>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</si>
  <si>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</si>
  <si>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</si>
  <si>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</si>
  <si>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</si>
  <si>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</si>
  <si>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</si>
  <si>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</si>
  <si>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</si>
  <si>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</si>
  <si>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</si>
  <si>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</si>
  <si>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</si>
  <si>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</si>
  <si>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</si>
  <si>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</si>
  <si>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</si>
  <si>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</si>
  <si>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</si>
  <si>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</si>
  <si>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</si>
  <si>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</si>
  <si>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</si>
  <si>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</si>
  <si>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</si>
  <si>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</si>
  <si>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</si>
  <si>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</si>
  <si>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</si>
  <si>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</si>
  <si>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</si>
  <si>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</si>
  <si>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</si>
  <si>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</si>
  <si>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</si>
  <si>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</si>
  <si>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</si>
  <si>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</si>
  <si>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</si>
  <si>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</si>
  <si>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</si>
  <si>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</si>
  <si>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</si>
  <si>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</si>
  <si>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</si>
  <si>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</si>
  <si>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</si>
  <si>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</si>
  <si>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</si>
  <si>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</si>
  <si>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</si>
  <si>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</si>
  <si>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</si>
  <si>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</si>
  <si>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</si>
  <si>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</si>
  <si>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</si>
  <si>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</si>
  <si>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</si>
  <si>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</si>
  <si>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</si>
  <si>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</si>
  <si>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</si>
  <si>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</si>
  <si>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</si>
  <si>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</si>
  <si>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</si>
  <si>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</si>
  <si>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</si>
  <si>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</si>
  <si>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</si>
  <si>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</si>
  <si>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</si>
  <si>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</si>
  <si>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</si>
  <si>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</si>
  <si>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</si>
  <si>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</si>
  <si>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</si>
  <si>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</si>
  <si>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</si>
  <si>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</si>
  <si>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</si>
  <si>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</si>
  <si>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</si>
  <si>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</si>
  <si>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</si>
  <si>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</si>
  <si>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</si>
  <si>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</si>
  <si>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</si>
  <si>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</si>
  <si>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</si>
  <si>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</si>
  <si>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</si>
  <si>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</si>
  <si>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</si>
  <si>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</si>
  <si>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</si>
  <si>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</si>
  <si>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</si>
  <si>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</si>
  <si>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</si>
  <si>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</si>
  <si>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</si>
  <si>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</si>
  <si>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</si>
  <si>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</si>
  <si>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</si>
  <si>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</si>
  <si>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</si>
  <si>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</si>
  <si>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</si>
  <si>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</si>
  <si>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</si>
  <si>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</si>
  <si>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</si>
  <si>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</si>
  <si>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</si>
  <si>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</si>
  <si>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</si>
  <si>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</si>
  <si>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</si>
  <si>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</si>
  <si>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</si>
  <si>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</si>
  <si>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</si>
  <si>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</si>
  <si>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</si>
  <si>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</si>
  <si>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</si>
  <si>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</si>
  <si>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</si>
  <si>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</si>
  <si>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</si>
  <si>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</si>
  <si>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</si>
  <si>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</si>
  <si>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</si>
  <si>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</si>
  <si>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</si>
  <si>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</si>
  <si>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</si>
  <si>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</si>
  <si>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</si>
  <si>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</si>
  <si>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</si>
  <si>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</si>
  <si>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</si>
  <si>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</si>
  <si>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</si>
  <si>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</si>
  <si>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</si>
  <si>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</si>
  <si>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</si>
  <si>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</si>
  <si>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</si>
  <si>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</si>
  <si>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</si>
  <si>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</si>
  <si>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</si>
  <si>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</si>
  <si>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</si>
  <si>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</si>
  <si>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</si>
  <si>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</si>
  <si>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</si>
  <si>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</si>
  <si>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</si>
  <si>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</si>
  <si>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</si>
  <si>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</si>
  <si>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</si>
  <si>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</si>
  <si>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</si>
  <si>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</si>
  <si>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</si>
  <si>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</si>
  <si>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</si>
  <si>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</si>
  <si>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</si>
  <si>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</si>
  <si>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</si>
  <si>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</si>
  <si>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</si>
  <si>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</si>
  <si>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</si>
  <si>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</si>
  <si>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</si>
  <si>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</si>
  <si>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</si>
  <si>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</si>
  <si>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</si>
  <si>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</si>
  <si>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</si>
  <si>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</si>
  <si>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</si>
  <si>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</si>
  <si>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</si>
  <si>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</si>
  <si>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</si>
  <si>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</si>
  <si>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</si>
  <si>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</si>
  <si>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</si>
  <si>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</si>
  <si>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</si>
  <si>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</si>
  <si>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</si>
  <si>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</si>
  <si>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</si>
  <si>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</si>
  <si>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</si>
  <si>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</si>
  <si>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</si>
  <si>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</si>
  <si>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</si>
  <si>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</si>
  <si>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</si>
  <si>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</si>
  <si>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</si>
  <si>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</si>
  <si>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</si>
  <si>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</si>
  <si>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</si>
  <si>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</si>
  <si>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</si>
  <si>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</si>
  <si>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</si>
  <si>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</si>
  <si>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</si>
  <si>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</si>
  <si>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</si>
  <si>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</si>
  <si>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</si>
  <si>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</si>
  <si>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</si>
  <si>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</si>
  <si>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</si>
  <si>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</si>
  <si>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</si>
  <si>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</si>
  <si>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</si>
  <si>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</si>
  <si>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</si>
  <si>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</si>
  <si>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</si>
  <si>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</si>
  <si>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</si>
  <si>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</si>
  <si>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</si>
  <si>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</si>
  <si>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</si>
  <si>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</si>
  <si>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</si>
  <si>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</si>
  <si>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</si>
  <si>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</si>
  <si>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</si>
  <si>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</si>
  <si>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</si>
  <si>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</si>
  <si>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</si>
  <si>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</si>
  <si>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</si>
  <si>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</si>
  <si>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</si>
  <si>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</si>
  <si>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</si>
  <si>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</si>
  <si>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</si>
  <si>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</si>
  <si>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</si>
  <si>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</si>
  <si>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</si>
  <si>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</si>
  <si>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</si>
  <si>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</si>
  <si>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</si>
  <si>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</si>
  <si>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</si>
  <si>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</si>
  <si>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</si>
  <si>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</si>
  <si>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</si>
  <si>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</si>
  <si>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</si>
  <si>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</si>
  <si>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</si>
  <si>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</si>
  <si>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</si>
  <si>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</si>
  <si>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</si>
  <si>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</si>
  <si>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</si>
  <si>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</si>
  <si>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</si>
  <si>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</si>
  <si>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</si>
  <si>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</si>
  <si>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</si>
  <si>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</si>
  <si>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</si>
  <si>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</si>
  <si>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</si>
  <si>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</si>
  <si>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</si>
  <si>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</si>
  <si>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</si>
  <si>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</si>
  <si>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</si>
  <si>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</si>
  <si>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</si>
  <si>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</si>
  <si>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</si>
  <si>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</si>
  <si>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</si>
  <si>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</si>
  <si>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</si>
  <si>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</si>
  <si>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</si>
  <si>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</si>
  <si>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</si>
  <si>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</si>
  <si>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</si>
  <si>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</si>
  <si>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</si>
  <si>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</si>
  <si>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</si>
  <si>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</si>
  <si>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</si>
  <si>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</si>
  <si>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</si>
  <si>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</si>
  <si>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</si>
  <si>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</si>
  <si>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</si>
  <si>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</si>
  <si>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</si>
  <si>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</si>
  <si>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</si>
  <si>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</si>
  <si>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</si>
  <si>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</si>
  <si>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</si>
  <si>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</si>
  <si>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</si>
  <si>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</si>
  <si>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</si>
  <si>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</si>
  <si>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</si>
  <si>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</si>
  <si>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</si>
  <si>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</si>
  <si>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</si>
  <si>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</si>
  <si>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</si>
  <si>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</si>
  <si>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</si>
  <si>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</si>
  <si>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</si>
  <si>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</si>
  <si>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</si>
  <si>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</si>
  <si>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</si>
  <si>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</si>
  <si>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</si>
  <si>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</si>
  <si>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</si>
  <si>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</si>
  <si>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</si>
  <si>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</si>
  <si>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</si>
  <si>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</si>
  <si>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</si>
  <si>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</si>
  <si>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</si>
  <si>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</si>
  <si>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</si>
  <si>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</si>
  <si>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</si>
  <si>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</si>
  <si>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</si>
  <si>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</si>
  <si>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</si>
  <si>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</si>
  <si>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</si>
  <si>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</si>
  <si>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</si>
  <si>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</si>
  <si>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</si>
  <si>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</si>
  <si>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</si>
  <si>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</si>
  <si>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</si>
  <si>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</si>
  <si>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</si>
  <si>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</si>
  <si>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</si>
  <si>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</si>
  <si>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</si>
  <si>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</si>
  <si>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</si>
  <si>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</si>
  <si>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</si>
  <si>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</si>
  <si>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</si>
  <si>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</si>
  <si>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</si>
  <si>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</si>
  <si>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</si>
  <si>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</si>
  <si>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</si>
  <si>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</si>
  <si>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</si>
  <si>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</si>
  <si>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</si>
  <si>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</si>
  <si>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</si>
  <si>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</si>
  <si>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</si>
  <si>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</si>
  <si>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</si>
  <si>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</si>
  <si>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</si>
  <si>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</si>
  <si>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</si>
  <si>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</si>
  <si>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</si>
  <si>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</si>
  <si>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</si>
  <si>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</si>
  <si>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</si>
  <si>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</si>
  <si>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</si>
  <si>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</si>
  <si>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</si>
  <si>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</si>
  <si>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</si>
  <si>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</si>
  <si>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</si>
  <si>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</si>
  <si>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</si>
  <si>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</si>
  <si>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</si>
  <si>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</si>
  <si>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</si>
  <si>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</si>
  <si>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</si>
  <si>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</si>
  <si>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</si>
  <si>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</si>
  <si>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</si>
  <si>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</si>
  <si>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</si>
  <si>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</si>
  <si>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</si>
  <si>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</si>
  <si>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</si>
  <si>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</si>
  <si>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</si>
  <si>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</si>
  <si>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</si>
  <si>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</si>
  <si>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</si>
  <si>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</si>
  <si>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</si>
  <si>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</si>
  <si>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School's onetime CAA supplement</t>
  </si>
  <si>
    <t>School's onetime FRPL supplement</t>
  </si>
  <si>
    <t>FY25 onetime FRPL Group B weight supplement</t>
  </si>
  <si>
    <t>Free or Reduced-Price Lunch (FRPL)    (5)</t>
  </si>
  <si>
    <t>FY25 onetime CAA supplement</t>
  </si>
  <si>
    <t>Increase for onetime charter additional assistance (CAA) supplement [Laws 2022, Ch.313, §128, as amended by Laws 2024, Ch.209, §4]</t>
  </si>
  <si>
    <t>Increase for onetime FRPL Group B weight supplement [Laws 2022, Ch.313, §128, as amended by Laws 2024, Ch.209, §4]</t>
  </si>
  <si>
    <t>For FY 2025, Laws 2022, Ch. 313, §128, as amended by Laws 2024, Ch.209, §4, provides a total onetime CAA supplement of $5,858,000. ADE will allocate and distribute the supplement on a proportional basis based on the CAA funding that each charter in this State receives in FY 2025. ADE will calculate the supplement amount for each charter and notify charters when complete. This line should be left blank for budget adoption. Charters may revise their budget after notification.</t>
  </si>
  <si>
    <t>For FY 2025, Laws 2022, Ch. 313, §128, as amended by Laws 2024, Ch.209, §4, provides a total onetime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This line should be left blank for budget adoption. Charters may revise their budget after notification.</t>
  </si>
  <si>
    <t>Tucson International Academy</t>
  </si>
  <si>
    <t>Pima</t>
  </si>
  <si>
    <t>108714000</t>
  </si>
  <si>
    <t>Jennifer Herrera</t>
  </si>
  <si>
    <t>Claudina Douglas</t>
  </si>
  <si>
    <t>jherrera@tiak12.com</t>
  </si>
  <si>
    <t>Jennifer E.</t>
  </si>
  <si>
    <t>Herrera</t>
  </si>
  <si>
    <t>520-661-7426</t>
  </si>
  <si>
    <t>Wences</t>
  </si>
  <si>
    <t>wences1016@gmail.com</t>
  </si>
  <si>
    <t>520-884-8574</t>
  </si>
  <si>
    <t>Andres</t>
  </si>
  <si>
    <t>Burrola</t>
  </si>
  <si>
    <t>aburrola@tiak12.com</t>
  </si>
  <si>
    <t>520-405-8311</t>
  </si>
  <si>
    <t>Claudina</t>
  </si>
  <si>
    <t>Douglas</t>
  </si>
  <si>
    <t>cdouglas@adibiz.com</t>
  </si>
  <si>
    <t>480-940-7538</t>
  </si>
  <si>
    <t>Arlene</t>
  </si>
  <si>
    <t>Canez</t>
  </si>
  <si>
    <t>acanez@tiak12.com</t>
  </si>
  <si>
    <t>520-704-0869</t>
  </si>
  <si>
    <t>Jeannette</t>
  </si>
  <si>
    <t>Cannon</t>
  </si>
  <si>
    <t>jcannon@tiak12.com</t>
  </si>
  <si>
    <t>520-405-8761</t>
  </si>
  <si>
    <t>Valerie</t>
  </si>
  <si>
    <t>Enriquez</t>
  </si>
  <si>
    <t>venriquez@tiak12.com</t>
  </si>
  <si>
    <t>520-730-4120</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</si>
  <si>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</si>
  <si>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</si>
  <si>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</si>
  <si>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</si>
  <si>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</si>
  <si>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</si>
  <si>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</si>
  <si>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</si>
  <si>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</si>
  <si>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</si>
  <si>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</si>
  <si>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</si>
  <si>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</si>
  <si>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</si>
  <si>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 xml:space="preserve">Quickbooks Enterprise </t>
  </si>
  <si>
    <t>www.tucsoninternationalacademy.com</t>
  </si>
  <si>
    <t xml:space="preserve">The salaries do not include stipends or prop performance.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</si>
</sst>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00"/>
    <numFmt numFmtId="179" formatCode="\(0E+00\);\(\-0E+00\)"/>
    <numFmt numFmtId="180" formatCode="_(* #,##0.0000_);_(* \(#,##0.0000\);_(* &quot;-&quot;??_);_(@_)"/>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cellStyleXfs>
  <cellXfs count="638">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8" fontId="0" fillId="0" borderId="3" xfId="0" applyNumberFormat="1" applyBorder="1" applyProtection="1">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9"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79"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79" fontId="37" fillId="2" borderId="0" xfId="10" applyNumberFormat="1" applyFont="1" applyFill="1"/>
    <xf numFmtId="179" fontId="35" fillId="2" borderId="0" xfId="10" applyNumberFormat="1" applyFont="1" applyFill="1"/>
    <xf numFmtId="179"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79" fontId="37" fillId="0" borderId="0" xfId="10" applyNumberFormat="1" applyFont="1"/>
    <xf numFmtId="179" fontId="49" fillId="2" borderId="0" xfId="10" applyNumberFormat="1" applyFont="1" applyFill="1" applyAlignment="1">
      <alignment horizontal="center"/>
    </xf>
    <xf numFmtId="179"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180" fontId="0" fillId="0" borderId="5" xfId="4" applyNumberFormat="1" applyFont="1" applyBorder="1"/>
    <xf numFmtId="180" fontId="0" fillId="0" borderId="13" xfId="4" applyNumberFormat="1" applyFont="1" applyBorder="1" applyProtection="1">
      <protection locked="0"/>
    </xf>
    <xf numFmtId="172" fontId="0" fillId="7" borderId="0" xfId="8" applyNumberFormat="1" applyFont="1" applyFill="1"/>
    <xf numFmtId="0" fontId="0" fillId="7" borderId="0" xfId="0" applyFill="1" applyAlignment="1">
      <alignment horizontal="right"/>
    </xf>
    <xf numFmtId="0" fontId="0" fillId="7" borderId="0" xfId="0" applyFill="1" applyAlignment="1">
      <alignment vertical="top"/>
    </xf>
    <xf numFmtId="177" fontId="2" fillId="7" borderId="0" xfId="8" applyNumberFormat="1" applyFont="1" applyFill="1" applyAlignment="1">
      <alignment horizontal="left"/>
    </xf>
    <xf numFmtId="177" fontId="48" fillId="7" borderId="25" xfId="2" applyNumberFormat="1" applyFont="1" applyFill="1" applyBorder="1" applyAlignment="1" applyProtection="1">
      <alignment horizontal="left"/>
    </xf>
    <xf numFmtId="0" fontId="48" fillId="7" borderId="25" xfId="8" applyFont="1" applyFill="1" applyBorder="1" applyAlignment="1">
      <alignment horizontal="right"/>
    </xf>
    <xf numFmtId="0" fontId="29" fillId="3" borderId="0" xfId="6" applyFont="1" applyFill="1" applyAlignment="1" applyProtection="1">
      <alignment horizontal="left"/>
    </xf>
    <xf numFmtId="0" fontId="7" fillId="3"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32" xfId="0" applyBorder="1" applyAlignment="1">
      <alignment horizontal="center"/>
    </xf>
    <xf numFmtId="0" fontId="0" fillId="0" borderId="3"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3" xfId="0" applyNumberFormat="1" applyBorder="1" applyProtection="1">
      <protection locked="0"/>
    </xf>
    <xf numFmtId="167" fontId="0" fillId="0" borderId="9"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9"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7" borderId="2" xfId="0" applyFill="1" applyBorder="1" applyAlignment="1" applyProtection="1">
      <alignment horizontal="left"/>
      <protection locked="0"/>
    </xf>
    <xf numFmtId="0" fontId="0" fillId="0" borderId="14" xfId="0" applyBorder="1" applyProtection="1">
      <protection locked="0"/>
    </xf>
    <xf numFmtId="0" fontId="0" fillId="0" borderId="27" xfId="0" applyBorder="1" applyProtection="1">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0" borderId="3" xfId="0" applyBorder="1" applyAlignment="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0" xfId="0" applyAlignment="1">
      <alignment horizontal="left" vertical="center"/>
    </xf>
    <xf numFmtId="0" fontId="0" fillId="0" borderId="13" xfId="0" applyBorder="1" applyAlignment="1">
      <alignment horizontal="left" vertical="center"/>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7" borderId="0" xfId="0" applyFill="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wrapText="1"/>
      <protection locked="0"/>
    </xf>
    <xf numFmtId="37" fontId="37" fillId="0" borderId="32" xfId="0" applyNumberFormat="1" applyFont="1" applyBorder="1" applyAlignment="1" applyProtection="1">
      <alignment horizontal="left" vertical="top" wrapText="1"/>
      <protection locked="0"/>
    </xf>
    <xf numFmtId="37" fontId="37" fillId="0" borderId="33" xfId="0" applyNumberFormat="1" applyFont="1" applyBorder="1" applyAlignment="1" applyProtection="1">
      <alignment horizontal="left" vertical="top" wrapText="1"/>
      <protection locked="0"/>
    </xf>
    <xf numFmtId="37" fontId="37" fillId="0" borderId="18" xfId="0" applyNumberFormat="1" applyFont="1" applyBorder="1" applyAlignment="1" applyProtection="1">
      <alignment horizontal="left" vertical="top" wrapText="1"/>
      <protection locked="0"/>
    </xf>
    <xf numFmtId="37" fontId="37" fillId="0" borderId="0" xfId="0" applyNumberFormat="1" applyFont="1" applyAlignment="1" applyProtection="1">
      <alignment horizontal="left" vertical="top" wrapText="1"/>
      <protection locked="0"/>
    </xf>
    <xf numFmtId="37" fontId="37" fillId="0" borderId="13" xfId="0" applyNumberFormat="1" applyFont="1" applyBorder="1" applyAlignment="1" applyProtection="1">
      <alignment horizontal="left" vertical="top" wrapText="1"/>
      <protection locked="0"/>
    </xf>
    <xf numFmtId="37" fontId="37" fillId="0" borderId="7" xfId="0" applyNumberFormat="1" applyFont="1" applyBorder="1" applyAlignment="1" applyProtection="1">
      <alignment horizontal="left" vertical="top" wrapText="1"/>
      <protection locked="0"/>
    </xf>
    <xf numFmtId="37" fontId="37" fillId="0" borderId="3" xfId="0" applyNumberFormat="1" applyFont="1" applyBorder="1" applyAlignment="1" applyProtection="1">
      <alignment horizontal="left" vertical="top" wrapText="1"/>
      <protection locked="0"/>
    </xf>
    <xf numFmtId="37" fontId="37" fillId="0" borderId="5" xfId="0" applyNumberFormat="1" applyFont="1" applyBorder="1" applyAlignment="1" applyProtection="1">
      <alignment horizontal="left" vertical="top" wrapText="1"/>
      <protection locked="0"/>
    </xf>
    <xf numFmtId="0" fontId="0" fillId="8" borderId="0" xfId="0" applyFill="1" applyAlignment="1">
      <alignment horizontal="left" vertical="top" wrapText="1"/>
    </xf>
    <xf numFmtId="0" fontId="16" fillId="7" borderId="0" xfId="0" applyFont="1" applyFill="1" applyAlignment="1">
      <alignment horizontal="center" vertical="top" wrapText="1"/>
    </xf>
    <xf numFmtId="0" fontId="16" fillId="0" borderId="0" xfId="0" applyFont="1" applyAlignment="1">
      <alignment horizontal="left" vertical="top" wrapText="1"/>
    </xf>
    <xf numFmtId="0" fontId="45" fillId="0" borderId="0" xfId="0" applyFont="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80" fontId="0" fillId="0" borderId="9" xfId="4" applyNumberFormat="1" applyFont="1" applyBorder="1" applyAlignment="1">
      <alignment horizontal="right"/>
    </xf>
    <xf numFmtId="180" fontId="0" fillId="0" borderId="27" xfId="4" applyNumberFormat="1" applyFont="1" applyBorder="1" applyAlignment="1">
      <alignment horizontal="right"/>
    </xf>
    <xf numFmtId="180" fontId="0" fillId="0" borderId="9" xfId="4" applyNumberFormat="1" applyFont="1" applyBorder="1"/>
    <xf numFmtId="180" fontId="0" fillId="0" borderId="27" xfId="4" applyNumberFormat="1" applyFon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2" xfId="0" applyBorder="1" applyAlignment="1">
      <alignment horizontal="left" vertical="center" wrapText="1"/>
    </xf>
    <xf numFmtId="180" fontId="0" fillId="0" borderId="3" xfId="4" applyNumberFormat="1" applyFont="1" applyBorder="1" applyAlignment="1" applyProtection="1">
      <alignment horizontal="right"/>
      <protection locked="0"/>
    </xf>
    <xf numFmtId="180" fontId="0" fillId="0" borderId="5" xfId="4" applyNumberFormat="1" applyFon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180" fontId="0" fillId="0" borderId="9" xfId="4" applyNumberFormat="1" applyFont="1" applyBorder="1" applyProtection="1">
      <protection locked="0"/>
    </xf>
    <xf numFmtId="180" fontId="0" fillId="0" borderId="27" xfId="4" applyNumberFormat="1" applyFont="1" applyBorder="1" applyProtection="1">
      <protection locked="0"/>
    </xf>
    <xf numFmtId="180" fontId="0" fillId="0" borderId="9" xfId="4" applyNumberFormat="1" applyFont="1" applyBorder="1" applyAlignment="1" applyProtection="1">
      <alignment horizontal="right"/>
      <protection locked="0"/>
    </xf>
    <xf numFmtId="180" fontId="0" fillId="0" borderId="27" xfId="4" applyNumberFormat="1" applyFont="1" applyBorder="1" applyAlignment="1" applyProtection="1">
      <alignment horizontal="right"/>
      <protection locked="0"/>
    </xf>
    <xf numFmtId="0" fontId="0" fillId="0" borderId="9" xfId="0" applyBorder="1" applyAlignment="1">
      <alignment horizontal="center"/>
    </xf>
    <xf numFmtId="0" fontId="0" fillId="0" borderId="2" xfId="0" applyBorder="1"/>
    <xf numFmtId="180" fontId="0" fillId="0" borderId="3" xfId="4" applyNumberFormat="1" applyFont="1" applyBorder="1" applyProtection="1">
      <protection locked="0"/>
    </xf>
    <xf numFmtId="180" fontId="0" fillId="0" borderId="5" xfId="4" applyNumberFormat="1" applyFont="1" applyBorder="1" applyProtection="1">
      <protection locked="0"/>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2" xfId="0" applyBorder="1" applyAlignment="1">
      <alignment horizontal="left" vertical="center"/>
    </xf>
    <xf numFmtId="0" fontId="0" fillId="0" borderId="7" xfId="0" applyBorder="1"/>
    <xf numFmtId="0" fontId="0" fillId="0" borderId="3" xfId="0" applyBorder="1"/>
    <xf numFmtId="0" fontId="0" fillId="0" borderId="5" xfId="0" applyBorder="1"/>
    <xf numFmtId="180" fontId="0" fillId="0" borderId="7" xfId="4" applyNumberFormat="1" applyFont="1" applyBorder="1" applyAlignment="1" applyProtection="1">
      <alignment horizontal="right"/>
      <protection locked="0"/>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5%20Budget/Proposed/budget24.xlsx" TargetMode="External"/><Relationship Id="rId1" Type="http://schemas.openxmlformats.org/officeDocument/2006/relationships/externalLinkPath" Target="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8">
          <cell r="K8" t="str">
            <v>2.</v>
          </cell>
          <cell r="L8" t="str">
            <v>Estimated revenues by source for fiscal year 2024</v>
          </cell>
        </row>
        <row r="13">
          <cell r="R13">
            <v>5544121</v>
          </cell>
        </row>
        <row r="15">
          <cell r="L15" t="str">
            <v>Charter school contact employee:</v>
          </cell>
        </row>
        <row r="16">
          <cell r="L16" t="str">
            <v>Telephone:</v>
          </cell>
        </row>
        <row r="18">
          <cell r="L18" t="str">
            <v>The FY 2024 budget file for the version described at left will be uploaded through the</v>
          </cell>
        </row>
        <row r="19">
          <cell r="L19" t="str">
            <v>School Finance Budget System on ADE's website by</v>
          </cell>
        </row>
        <row r="20">
          <cell r="L20" t="str">
            <v xml:space="preserve">    </v>
          </cell>
        </row>
        <row r="25">
          <cell r="L25" t="str">
            <v/>
          </cell>
        </row>
        <row r="27">
          <cell r="L27" t="str">
            <v>School official (typed name)</v>
          </cell>
        </row>
        <row r="29">
          <cell r="L29" t="str">
            <v>Average teacher salary (A.R.S. §15-189.05)</v>
          </cell>
        </row>
        <row r="30">
          <cell r="L30" t="str">
            <v/>
          </cell>
        </row>
        <row r="32">
          <cell r="L32" t="str">
            <v>1. Average salary of all teachers employed in budget year 2024</v>
          </cell>
        </row>
        <row r="33">
          <cell r="L33" t="str">
            <v>2. Average salary of all teachers employed in prior year 2023</v>
          </cell>
        </row>
        <row r="34">
          <cell r="L34" t="str">
            <v>3. Increase in average teacher salary from the prior year 2023</v>
          </cell>
        </row>
        <row r="35">
          <cell r="L35" t="str">
            <v xml:space="preserve">4. Percentage increase </v>
          </cell>
        </row>
        <row r="36">
          <cell r="L36" t="str">
            <v>Comments on average salary calculation (optional):</v>
          </cell>
        </row>
        <row r="42">
          <cell r="G42" t="str">
            <v>Title</v>
          </cell>
        </row>
      </sheetData>
      <sheetData sheetId="1">
        <row r="6">
          <cell r="E6" t="str">
            <v>Last name</v>
          </cell>
        </row>
        <row r="7">
          <cell r="E7" t="str">
            <v>Herrera</v>
          </cell>
        </row>
        <row r="8">
          <cell r="E8" t="str">
            <v>Enriquez</v>
          </cell>
        </row>
        <row r="11">
          <cell r="E11" t="str">
            <v>Douglas</v>
          </cell>
          <cell r="G11" t="str">
            <v>cdouglas@adibiz.com</v>
          </cell>
        </row>
        <row r="12">
          <cell r="E12" t="str">
            <v>Canez</v>
          </cell>
          <cell r="G12" t="str">
            <v>acanez@tiak12.com</v>
          </cell>
        </row>
        <row r="13">
          <cell r="E13" t="str">
            <v>Canez</v>
          </cell>
          <cell r="G13" t="str">
            <v>acanez@tiak12.com</v>
          </cell>
        </row>
        <row r="15">
          <cell r="E15" t="str">
            <v>Canez</v>
          </cell>
          <cell r="G15" t="str">
            <v>acanez@tiak12.com</v>
          </cell>
        </row>
        <row r="17">
          <cell r="E17" t="str">
            <v>Beebe</v>
          </cell>
          <cell r="G17" t="str">
            <v>bbeeb@tiak12.com</v>
          </cell>
        </row>
        <row r="18">
          <cell r="E18" t="str">
            <v>Rivas Sr.</v>
          </cell>
        </row>
        <row r="19">
          <cell r="E19" t="str">
            <v>Delap</v>
          </cell>
        </row>
        <row r="20">
          <cell r="E20" t="str">
            <v>Davis</v>
          </cell>
        </row>
        <row r="21">
          <cell r="E21" t="str">
            <v>Herrera</v>
          </cell>
          <cell r="G21" t="str">
            <v>jherrera@tiak12.com</v>
          </cell>
        </row>
      </sheetData>
      <sheetData sheetId="2">
        <row r="8">
          <cell r="E8">
            <v>1</v>
          </cell>
          <cell r="K8">
            <v>1369529</v>
          </cell>
          <cell r="L8">
            <v>1240581</v>
          </cell>
          <cell r="N8">
            <v>1</v>
          </cell>
        </row>
        <row r="10">
          <cell r="E10">
            <v>2</v>
          </cell>
          <cell r="K10">
            <v>139003</v>
          </cell>
          <cell r="L10">
            <v>159327</v>
          </cell>
          <cell r="N10">
            <v>2</v>
          </cell>
        </row>
        <row r="11">
          <cell r="E11">
            <v>3</v>
          </cell>
          <cell r="G11">
            <v>7662</v>
          </cell>
          <cell r="K11">
            <v>92049</v>
          </cell>
          <cell r="L11">
            <v>93022</v>
          </cell>
          <cell r="N11">
            <v>3</v>
          </cell>
        </row>
        <row r="12">
          <cell r="E12">
            <v>4</v>
          </cell>
          <cell r="K12">
            <v>33000</v>
          </cell>
          <cell r="L12">
            <v>4000</v>
          </cell>
          <cell r="N12">
            <v>4</v>
          </cell>
        </row>
        <row r="13">
          <cell r="E13">
            <v>5</v>
          </cell>
          <cell r="G13">
            <v>99034</v>
          </cell>
          <cell r="K13">
            <v>792372</v>
          </cell>
          <cell r="L13">
            <v>913734</v>
          </cell>
          <cell r="N13">
            <v>5</v>
          </cell>
        </row>
        <row r="14">
          <cell r="E14">
            <v>6</v>
          </cell>
          <cell r="L14">
            <v>348655</v>
          </cell>
          <cell r="N14">
            <v>6</v>
          </cell>
        </row>
        <row r="15">
          <cell r="E15">
            <v>7</v>
          </cell>
          <cell r="G15">
            <v>11712</v>
          </cell>
          <cell r="L15">
            <v>1284399</v>
          </cell>
          <cell r="N15">
            <v>7</v>
          </cell>
        </row>
        <row r="16">
          <cell r="E16">
            <v>8</v>
          </cell>
          <cell r="L16">
            <v>0</v>
          </cell>
          <cell r="N16">
            <v>8</v>
          </cell>
        </row>
        <row r="17">
          <cell r="E17">
            <v>9</v>
          </cell>
          <cell r="G17">
            <v>5810</v>
          </cell>
          <cell r="L17">
            <v>286544</v>
          </cell>
          <cell r="N17">
            <v>9</v>
          </cell>
        </row>
        <row r="18">
          <cell r="E18">
            <v>10</v>
          </cell>
          <cell r="L18">
            <v>0</v>
          </cell>
        </row>
        <row r="19">
          <cell r="E19">
            <v>11</v>
          </cell>
          <cell r="L19">
            <v>0</v>
          </cell>
        </row>
        <row r="20">
          <cell r="E20">
            <v>12</v>
          </cell>
          <cell r="L20">
            <v>0</v>
          </cell>
        </row>
        <row r="21">
          <cell r="E21">
            <v>13</v>
          </cell>
          <cell r="L21">
            <v>0</v>
          </cell>
          <cell r="N21">
            <v>13</v>
          </cell>
        </row>
        <row r="22">
          <cell r="L22">
            <v>71424</v>
          </cell>
          <cell r="N22">
            <v>14</v>
          </cell>
        </row>
        <row r="23">
          <cell r="N23">
            <v>15</v>
          </cell>
        </row>
        <row r="25">
          <cell r="E25">
            <v>16</v>
          </cell>
          <cell r="L25">
            <v>122712</v>
          </cell>
        </row>
        <row r="27">
          <cell r="E27">
            <v>17</v>
          </cell>
          <cell r="L27">
            <v>226241</v>
          </cell>
        </row>
        <row r="28">
          <cell r="E28">
            <v>18</v>
          </cell>
          <cell r="L28">
            <v>34483</v>
          </cell>
        </row>
        <row r="29">
          <cell r="E29">
            <v>19</v>
          </cell>
          <cell r="L29">
            <v>0</v>
          </cell>
        </row>
        <row r="30">
          <cell r="E30">
            <v>20</v>
          </cell>
          <cell r="L30">
            <v>0</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21476</v>
          </cell>
          <cell r="N37">
            <v>27</v>
          </cell>
        </row>
        <row r="38">
          <cell r="N38">
            <v>28</v>
          </cell>
        </row>
        <row r="39">
          <cell r="L39">
            <v>8500</v>
          </cell>
        </row>
        <row r="40">
          <cell r="E40">
            <v>29</v>
          </cell>
          <cell r="L40">
            <v>0</v>
          </cell>
        </row>
        <row r="41">
          <cell r="E41">
            <v>30</v>
          </cell>
          <cell r="L41">
            <v>0</v>
          </cell>
        </row>
        <row r="42">
          <cell r="E42">
            <v>31</v>
          </cell>
          <cell r="G42">
            <v>8278</v>
          </cell>
          <cell r="L42">
            <v>49504</v>
          </cell>
          <cell r="N42">
            <v>31</v>
          </cell>
        </row>
        <row r="43">
          <cell r="E43">
            <v>32</v>
          </cell>
        </row>
        <row r="44">
          <cell r="E44">
            <v>33</v>
          </cell>
          <cell r="L44">
            <v>255259</v>
          </cell>
        </row>
        <row r="45">
          <cell r="E45">
            <v>34</v>
          </cell>
          <cell r="L45">
            <v>40286</v>
          </cell>
        </row>
        <row r="46">
          <cell r="L46">
            <v>0</v>
          </cell>
        </row>
        <row r="47">
          <cell r="L47">
            <v>0</v>
          </cell>
        </row>
        <row r="48">
          <cell r="E48">
            <v>37</v>
          </cell>
          <cell r="L48">
            <v>723687</v>
          </cell>
        </row>
      </sheetData>
      <sheetData sheetId="3">
        <row r="5">
          <cell r="E5">
            <v>308642</v>
          </cell>
          <cell r="N5">
            <v>383436</v>
          </cell>
        </row>
        <row r="6">
          <cell r="E6">
            <v>24307</v>
          </cell>
          <cell r="N6">
            <v>0</v>
          </cell>
        </row>
        <row r="7">
          <cell r="E7">
            <v>20297</v>
          </cell>
          <cell r="N7">
            <v>0</v>
          </cell>
        </row>
        <row r="8">
          <cell r="E8">
            <v>0</v>
          </cell>
          <cell r="N8">
            <v>0</v>
          </cell>
        </row>
        <row r="9">
          <cell r="E9">
            <v>9636</v>
          </cell>
          <cell r="G9">
            <v>5</v>
          </cell>
          <cell r="N9">
            <v>0</v>
          </cell>
        </row>
        <row r="10">
          <cell r="E10">
            <v>0</v>
          </cell>
          <cell r="N10">
            <v>0</v>
          </cell>
        </row>
        <row r="11">
          <cell r="E11">
            <v>0</v>
          </cell>
          <cell r="G11">
            <v>7</v>
          </cell>
          <cell r="N11">
            <v>0</v>
          </cell>
        </row>
        <row r="12">
          <cell r="E12">
            <v>59533</v>
          </cell>
          <cell r="G12">
            <v>8</v>
          </cell>
          <cell r="N12">
            <v>383436</v>
          </cell>
        </row>
        <row r="13">
          <cell r="E13">
            <v>0</v>
          </cell>
        </row>
        <row r="14">
          <cell r="E14">
            <v>0</v>
          </cell>
          <cell r="G14">
            <v>9</v>
          </cell>
        </row>
        <row r="15">
          <cell r="E15">
            <v>0</v>
          </cell>
        </row>
        <row r="16">
          <cell r="E16">
            <v>0</v>
          </cell>
        </row>
        <row r="17">
          <cell r="E17">
            <v>0</v>
          </cell>
        </row>
        <row r="18">
          <cell r="E18">
            <v>0</v>
          </cell>
        </row>
        <row r="19">
          <cell r="E19">
            <v>0</v>
          </cell>
        </row>
        <row r="20">
          <cell r="E20">
            <v>0</v>
          </cell>
        </row>
        <row r="21">
          <cell r="E21">
            <v>301272</v>
          </cell>
          <cell r="G21" t="str">
            <v>1.</v>
          </cell>
          <cell r="N21">
            <v>0</v>
          </cell>
        </row>
        <row r="22">
          <cell r="N22">
            <v>0</v>
          </cell>
        </row>
        <row r="23">
          <cell r="N23">
            <v>0</v>
          </cell>
        </row>
        <row r="24">
          <cell r="E24">
            <v>0</v>
          </cell>
          <cell r="N24">
            <v>40286</v>
          </cell>
        </row>
        <row r="25">
          <cell r="E25">
            <v>0</v>
          </cell>
        </row>
        <row r="26">
          <cell r="E26">
            <v>0</v>
          </cell>
        </row>
        <row r="27">
          <cell r="E27">
            <v>0</v>
          </cell>
          <cell r="L27" t="str">
            <v>Selected expenses by type</v>
          </cell>
        </row>
        <row r="28">
          <cell r="E28">
            <v>0</v>
          </cell>
          <cell r="L28" t="str">
            <v>(Must be included on page 1)</v>
          </cell>
        </row>
        <row r="29">
          <cell r="E29">
            <v>0</v>
          </cell>
          <cell r="L29" t="str">
            <v>Audit services</v>
          </cell>
        </row>
        <row r="30">
          <cell r="E30">
            <v>0</v>
          </cell>
          <cell r="L30" t="str">
            <v>Classroom instruction</v>
          </cell>
          <cell r="N30">
            <v>1958838</v>
          </cell>
        </row>
        <row r="31">
          <cell r="E31">
            <v>0</v>
          </cell>
        </row>
        <row r="32">
          <cell r="E32">
            <v>0</v>
          </cell>
        </row>
        <row r="33">
          <cell r="E33">
            <v>0</v>
          </cell>
        </row>
        <row r="34">
          <cell r="E34">
            <v>0</v>
          </cell>
        </row>
        <row r="35">
          <cell r="E35">
            <v>0</v>
          </cell>
          <cell r="N35">
            <v>161544</v>
          </cell>
        </row>
        <row r="38">
          <cell r="N38">
            <v>0</v>
          </cell>
        </row>
        <row r="43">
          <cell r="E43">
            <v>77000</v>
          </cell>
        </row>
      </sheetData>
      <sheetData sheetId="4">
        <row r="8">
          <cell r="E8">
            <v>1</v>
          </cell>
          <cell r="K8">
            <v>255259</v>
          </cell>
          <cell r="L8">
            <v>-0.17100000000000001</v>
          </cell>
        </row>
        <row r="9">
          <cell r="E9">
            <v>2</v>
          </cell>
          <cell r="K9">
            <v>0</v>
          </cell>
        </row>
        <row r="10">
          <cell r="E10">
            <v>3</v>
          </cell>
          <cell r="K10">
            <v>0</v>
          </cell>
          <cell r="L10" t="str">
            <v xml:space="preserve"> </v>
          </cell>
        </row>
        <row r="11">
          <cell r="E11">
            <v>4</v>
          </cell>
          <cell r="K11">
            <v>0</v>
          </cell>
          <cell r="L11" t="str">
            <v xml:space="preserve"> </v>
          </cell>
        </row>
        <row r="12">
          <cell r="E12">
            <v>5</v>
          </cell>
          <cell r="K12">
            <v>0</v>
          </cell>
          <cell r="L12" t="str">
            <v xml:space="preserve"> </v>
          </cell>
        </row>
        <row r="13">
          <cell r="E13">
            <v>6</v>
          </cell>
          <cell r="G13">
            <v>44800</v>
          </cell>
          <cell r="K13">
            <v>255259</v>
          </cell>
          <cell r="L13">
            <v>-0.17100000000000001</v>
          </cell>
        </row>
      </sheetData>
      <sheetData sheetId="5">
        <row r="6">
          <cell r="N6">
            <v>2024</v>
          </cell>
        </row>
        <row r="9">
          <cell r="E9">
            <v>1</v>
          </cell>
          <cell r="N9">
            <v>0</v>
          </cell>
        </row>
        <row r="11">
          <cell r="E11">
            <v>2</v>
          </cell>
          <cell r="N11">
            <v>0</v>
          </cell>
        </row>
        <row r="12">
          <cell r="E12">
            <v>3</v>
          </cell>
          <cell r="N12">
            <v>0</v>
          </cell>
        </row>
        <row r="13">
          <cell r="E13">
            <v>4</v>
          </cell>
          <cell r="N13">
            <v>0</v>
          </cell>
        </row>
        <row r="14">
          <cell r="E14">
            <v>5</v>
          </cell>
          <cell r="N14">
            <v>0</v>
          </cell>
        </row>
        <row r="15">
          <cell r="E15">
            <v>6</v>
          </cell>
          <cell r="N15">
            <v>0</v>
          </cell>
        </row>
        <row r="16">
          <cell r="E16">
            <v>7</v>
          </cell>
          <cell r="N16">
            <v>0</v>
          </cell>
        </row>
        <row r="17">
          <cell r="E17">
            <v>8</v>
          </cell>
          <cell r="N17">
            <v>0</v>
          </cell>
        </row>
        <row r="18">
          <cell r="E18">
            <v>9</v>
          </cell>
          <cell r="L18">
            <v>0</v>
          </cell>
        </row>
        <row r="21">
          <cell r="E21">
            <v>10</v>
          </cell>
          <cell r="N21">
            <v>0</v>
          </cell>
        </row>
        <row r="22">
          <cell r="L22">
            <v>0</v>
          </cell>
          <cell r="N22">
            <v>0</v>
          </cell>
        </row>
        <row r="27">
          <cell r="L27">
            <v>6800</v>
          </cell>
        </row>
        <row r="30">
          <cell r="E30">
            <v>12</v>
          </cell>
          <cell r="N30">
            <v>0</v>
          </cell>
        </row>
        <row r="32">
          <cell r="E32">
            <v>13</v>
          </cell>
          <cell r="N32">
            <v>0</v>
          </cell>
        </row>
        <row r="33">
          <cell r="E33">
            <v>14</v>
          </cell>
          <cell r="N33">
            <v>0</v>
          </cell>
        </row>
        <row r="34">
          <cell r="N34">
            <v>0</v>
          </cell>
        </row>
        <row r="35">
          <cell r="E35">
            <v>16</v>
          </cell>
          <cell r="N35">
            <v>0</v>
          </cell>
        </row>
        <row r="36">
          <cell r="N36">
            <v>0</v>
          </cell>
        </row>
        <row r="37">
          <cell r="N37">
            <v>0</v>
          </cell>
        </row>
        <row r="38">
          <cell r="N38">
            <v>0</v>
          </cell>
        </row>
        <row r="39">
          <cell r="L39">
            <v>0</v>
          </cell>
        </row>
        <row r="42">
          <cell r="E42">
            <v>21</v>
          </cell>
          <cell r="N42">
            <v>0</v>
          </cell>
        </row>
        <row r="43">
          <cell r="E43">
            <v>22</v>
          </cell>
        </row>
      </sheetData>
      <sheetData sheetId="6">
        <row r="5">
          <cell r="E5">
            <v>2024</v>
          </cell>
        </row>
        <row r="6">
          <cell r="E6">
            <v>1240581</v>
          </cell>
        </row>
        <row r="8">
          <cell r="E8">
            <v>159327</v>
          </cell>
        </row>
        <row r="9">
          <cell r="E9">
            <v>93022</v>
          </cell>
          <cell r="K9" t="str">
            <v>Totals</v>
          </cell>
        </row>
        <row r="10">
          <cell r="E10">
            <v>4000</v>
          </cell>
          <cell r="K10" t="str">
            <v>Prior year</v>
          </cell>
          <cell r="L10" t="str">
            <v>Budget year</v>
          </cell>
        </row>
        <row r="11">
          <cell r="E11">
            <v>913734</v>
          </cell>
          <cell r="K11">
            <v>2023</v>
          </cell>
          <cell r="L11">
            <v>2024</v>
          </cell>
        </row>
        <row r="12">
          <cell r="E12">
            <v>348655</v>
          </cell>
          <cell r="K12">
            <v>383436</v>
          </cell>
          <cell r="L12">
            <v>383436</v>
          </cell>
        </row>
        <row r="13">
          <cell r="E13">
            <v>1284399</v>
          </cell>
          <cell r="K13">
            <v>0</v>
          </cell>
          <cell r="L13">
            <v>0</v>
          </cell>
        </row>
        <row r="14">
          <cell r="E14">
            <v>0</v>
          </cell>
          <cell r="L14">
            <v>0</v>
          </cell>
        </row>
        <row r="15">
          <cell r="E15">
            <v>286544</v>
          </cell>
          <cell r="L15">
            <v>0</v>
          </cell>
        </row>
        <row r="16">
          <cell r="E16">
            <v>0</v>
          </cell>
          <cell r="L16">
            <v>0</v>
          </cell>
        </row>
        <row r="17">
          <cell r="E17">
            <v>0</v>
          </cell>
          <cell r="L17">
            <v>0</v>
          </cell>
        </row>
        <row r="18">
          <cell r="E18">
            <v>0</v>
          </cell>
          <cell r="L18">
            <v>0</v>
          </cell>
        </row>
        <row r="19">
          <cell r="E19">
            <v>0</v>
          </cell>
          <cell r="L19">
            <v>383436</v>
          </cell>
        </row>
        <row r="20">
          <cell r="E20">
            <v>71424</v>
          </cell>
        </row>
        <row r="21">
          <cell r="E21">
            <v>4401686</v>
          </cell>
        </row>
        <row r="22">
          <cell r="L22" t="str">
            <v>%</v>
          </cell>
        </row>
        <row r="25">
          <cell r="E25">
            <v>226241</v>
          </cell>
          <cell r="L25">
            <v>0.107</v>
          </cell>
        </row>
        <row r="26">
          <cell r="E26">
            <v>34483</v>
          </cell>
        </row>
        <row r="27">
          <cell r="E27">
            <v>0</v>
          </cell>
          <cell r="L27">
            <v>1.1120000000000001</v>
          </cell>
        </row>
        <row r="28">
          <cell r="E28">
            <v>0</v>
          </cell>
          <cell r="L28" t="str">
            <v xml:space="preserve"> </v>
          </cell>
        </row>
        <row r="29">
          <cell r="E29">
            <v>0</v>
          </cell>
          <cell r="L29" t="str">
            <v xml:space="preserve"> </v>
          </cell>
        </row>
        <row r="30">
          <cell r="E30">
            <v>0</v>
          </cell>
          <cell r="L30">
            <v>-0.61</v>
          </cell>
        </row>
        <row r="31">
          <cell r="L31" t="str">
            <v xml:space="preserve"> </v>
          </cell>
        </row>
        <row r="32">
          <cell r="E32">
            <v>0</v>
          </cell>
          <cell r="L32">
            <v>-0.57399999999999995</v>
          </cell>
        </row>
        <row r="33">
          <cell r="E33">
            <v>0</v>
          </cell>
          <cell r="L33">
            <v>-0.11899999999999999</v>
          </cell>
        </row>
        <row r="35">
          <cell r="E35">
            <v>383436</v>
          </cell>
        </row>
        <row r="39">
          <cell r="L39">
            <v>-522</v>
          </cell>
        </row>
        <row r="40">
          <cell r="E40">
            <v>49504</v>
          </cell>
          <cell r="L40">
            <v>-1.2E-2</v>
          </cell>
        </row>
        <row r="41">
          <cell r="E41">
            <v>4843126</v>
          </cell>
        </row>
      </sheetData>
      <sheetData sheetId="7">
        <row r="17">
          <cell r="L17">
            <v>122</v>
          </cell>
        </row>
        <row r="20">
          <cell r="L20">
            <v>122</v>
          </cell>
        </row>
        <row r="29">
          <cell r="L29">
            <v>0</v>
          </cell>
        </row>
      </sheetData>
      <sheetData sheetId="8">
        <row r="7">
          <cell r="N7" t="str">
            <v>9-12</v>
          </cell>
        </row>
        <row r="9">
          <cell r="N9">
            <v>1.5589999999999999</v>
          </cell>
        </row>
        <row r="11">
          <cell r="L11">
            <v>500</v>
          </cell>
          <cell r="N11">
            <v>500</v>
          </cell>
        </row>
        <row r="12">
          <cell r="K12" t="str">
            <v>-</v>
          </cell>
          <cell r="L12">
            <v>288</v>
          </cell>
          <cell r="N12">
            <v>122</v>
          </cell>
        </row>
        <row r="13">
          <cell r="K13" t="str">
            <v>=</v>
          </cell>
          <cell r="L13">
            <v>212</v>
          </cell>
          <cell r="N13">
            <v>378</v>
          </cell>
        </row>
        <row r="14">
          <cell r="L14">
            <v>2.9999999999999997E-4</v>
          </cell>
          <cell r="N14">
            <v>4.0000000000000002E-4</v>
          </cell>
        </row>
        <row r="15">
          <cell r="L15">
            <v>6.3600000000000004E-2</v>
          </cell>
          <cell r="N15">
            <v>0.1512</v>
          </cell>
        </row>
        <row r="16">
          <cell r="L16">
            <v>1.278</v>
          </cell>
          <cell r="N16">
            <v>1.3979999999999999</v>
          </cell>
        </row>
        <row r="17">
          <cell r="L17">
            <v>1.3415999999999999</v>
          </cell>
          <cell r="N17">
            <v>1.5491999999999999</v>
          </cell>
        </row>
        <row r="19">
          <cell r="L19">
            <v>600</v>
          </cell>
        </row>
        <row r="20">
          <cell r="L20">
            <v>0</v>
          </cell>
        </row>
        <row r="21">
          <cell r="L21">
            <v>0</v>
          </cell>
          <cell r="N21">
            <v>0</v>
          </cell>
        </row>
        <row r="22">
          <cell r="L22">
            <v>1.1999999999999999E-3</v>
          </cell>
          <cell r="N22">
            <v>1.2999999999999999E-3</v>
          </cell>
        </row>
        <row r="23">
          <cell r="N23">
            <v>0</v>
          </cell>
        </row>
        <row r="24">
          <cell r="N24">
            <v>1.268</v>
          </cell>
        </row>
        <row r="25">
          <cell r="L25">
            <v>0</v>
          </cell>
        </row>
        <row r="27">
          <cell r="L27">
            <v>1.1579999999999999</v>
          </cell>
        </row>
        <row r="32">
          <cell r="L32" t="str">
            <v>K-8</v>
          </cell>
          <cell r="N32" t="str">
            <v>9-12</v>
          </cell>
        </row>
        <row r="34">
          <cell r="L34">
            <v>1.399</v>
          </cell>
          <cell r="N34">
            <v>1.5589999999999999</v>
          </cell>
        </row>
        <row r="36">
          <cell r="L36">
            <v>500</v>
          </cell>
          <cell r="N36">
            <v>500</v>
          </cell>
        </row>
        <row r="37">
          <cell r="N37">
            <v>0</v>
          </cell>
        </row>
        <row r="38">
          <cell r="N38">
            <v>0</v>
          </cell>
        </row>
        <row r="39">
          <cell r="L39">
            <v>2.9999999999999997E-4</v>
          </cell>
        </row>
        <row r="40">
          <cell r="L40">
            <v>0</v>
          </cell>
        </row>
        <row r="41">
          <cell r="L41">
            <v>1.278</v>
          </cell>
        </row>
        <row r="42">
          <cell r="L42">
            <v>0</v>
          </cell>
          <cell r="N42">
            <v>0</v>
          </cell>
        </row>
        <row r="44">
          <cell r="L44">
            <v>600</v>
          </cell>
        </row>
        <row r="45">
          <cell r="L45">
            <v>0</v>
          </cell>
        </row>
        <row r="46">
          <cell r="L46">
            <v>0</v>
          </cell>
        </row>
        <row r="47">
          <cell r="L47">
            <v>1.1999999999999999E-3</v>
          </cell>
        </row>
        <row r="48">
          <cell r="L48">
            <v>0</v>
          </cell>
        </row>
      </sheetData>
      <sheetData sheetId="9">
        <row r="7">
          <cell r="E7" t="str">
            <v>Support Level 
Weight</v>
          </cell>
        </row>
        <row r="8">
          <cell r="E8">
            <v>0</v>
          </cell>
        </row>
        <row r="9">
          <cell r="E9">
            <v>1.3415999999999999</v>
          </cell>
          <cell r="G9">
            <v>0</v>
          </cell>
        </row>
        <row r="10">
          <cell r="E10">
            <v>1.5491999999999999</v>
          </cell>
        </row>
        <row r="13">
          <cell r="G13">
            <v>0</v>
          </cell>
        </row>
        <row r="15">
          <cell r="E15" t="str">
            <v>Support Level 
Weight</v>
          </cell>
          <cell r="G15" t="str">
            <v>AOI-FT 
Weighted Student
Count</v>
          </cell>
        </row>
        <row r="16">
          <cell r="E16">
            <v>0.115</v>
          </cell>
          <cell r="G16">
            <v>0</v>
          </cell>
        </row>
        <row r="17">
          <cell r="E17">
            <v>0.06</v>
          </cell>
          <cell r="G17">
            <v>0</v>
          </cell>
        </row>
        <row r="18">
          <cell r="E18">
            <v>0.04</v>
          </cell>
        </row>
        <row r="19">
          <cell r="E19">
            <v>4.7709999999999999</v>
          </cell>
        </row>
        <row r="20">
          <cell r="E20">
            <v>6.024</v>
          </cell>
        </row>
        <row r="21">
          <cell r="E21">
            <v>5.9880000000000004</v>
          </cell>
          <cell r="G21">
            <v>0</v>
          </cell>
        </row>
        <row r="24">
          <cell r="E24">
            <v>6.7729999999999997</v>
          </cell>
        </row>
        <row r="25">
          <cell r="E25">
            <v>3.5950000000000002</v>
          </cell>
        </row>
        <row r="26">
          <cell r="E26">
            <v>0.29199999999999998</v>
          </cell>
        </row>
        <row r="27">
          <cell r="E27">
            <v>4.8220000000000001</v>
          </cell>
        </row>
        <row r="28">
          <cell r="E28">
            <v>4.4210000000000003</v>
          </cell>
        </row>
        <row r="29">
          <cell r="E29">
            <v>4.806</v>
          </cell>
        </row>
        <row r="30">
          <cell r="E30">
            <v>7.0000000000000001E-3</v>
          </cell>
          <cell r="G30">
            <v>0</v>
          </cell>
        </row>
        <row r="34">
          <cell r="G34">
            <v>0</v>
          </cell>
        </row>
        <row r="42">
          <cell r="E42" t="str">
            <v>AOI-FT 
Weighted Student Count</v>
          </cell>
          <cell r="G42" t="str">
            <v>AOI-PT
Weighted Student Count</v>
          </cell>
        </row>
        <row r="43">
          <cell r="E43">
            <v>0</v>
          </cell>
        </row>
        <row r="44">
          <cell r="E44">
            <v>0</v>
          </cell>
        </row>
        <row r="45">
          <cell r="E45">
            <v>0</v>
          </cell>
        </row>
      </sheetData>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10.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2"/>
  <sheetViews>
    <sheetView showGridLines="0" tabSelected="1" workbookViewId="0">
      <selection activeCell="X26" sqref="X26"/>
    </sheetView>
  </sheetViews>
  <sheetFormatPr defaultColWidth="9.42578125" defaultRowHeight="12.75" customHeight="1"/>
  <cols>
    <col min="1" max="1" width="8.42578125" customWidth="1"/>
    <col min="2" max="2" width="5.42578125" customWidth="1"/>
    <col min="3" max="3" width="4.5703125" customWidth="1"/>
    <col min="4" max="4" width="8.42578125" customWidth="1"/>
    <col min="5" max="5" width="5.42578125" customWidth="1"/>
    <col min="6" max="6" width="11.42578125" customWidth="1"/>
    <col min="7" max="7" width="6.5703125" customWidth="1"/>
    <col min="8" max="8" width="3" customWidth="1"/>
    <col min="9" max="9" width="11.42578125" customWidth="1"/>
    <col min="10" max="10" width="15" customWidth="1"/>
    <col min="12" max="12" width="9.5703125" customWidth="1"/>
    <col min="13" max="13" width="9.425781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88" t="s">
        <v>0</v>
      </c>
      <c r="B1" s="489"/>
      <c r="C1" s="489"/>
      <c r="D1" s="483" t="s">
        <v>565</v>
      </c>
      <c r="E1" s="483"/>
      <c r="F1" s="483"/>
      <c r="G1" s="483"/>
      <c r="H1" s="483"/>
      <c r="I1" s="483"/>
      <c r="L1" s="406" t="s">
        <v>1</v>
      </c>
      <c r="M1" s="485" t="s">
        <v>566</v>
      </c>
      <c r="N1" s="485"/>
      <c r="O1" s="129" t="s">
        <v>2</v>
      </c>
      <c r="P1" s="2" t="s">
        <v>567</v>
      </c>
      <c r="Q1" s="130"/>
    </row>
    <row r="2" spans="1:18" ht="12.75" customHeight="1">
      <c r="D2" s="479" t="s">
        <v>3</v>
      </c>
      <c r="E2" s="479"/>
      <c r="F2" s="479"/>
      <c r="G2" s="479"/>
      <c r="H2" s="479"/>
      <c r="I2" s="479"/>
      <c r="M2" s="131"/>
      <c r="Q2" s="131"/>
      <c r="R2" s="405"/>
    </row>
    <row r="3" spans="1:18" ht="12.75" customHeight="1">
      <c r="D3" s="480"/>
      <c r="E3" s="480"/>
      <c r="F3" s="480"/>
      <c r="G3" s="480"/>
      <c r="H3" s="480"/>
      <c r="I3" s="480"/>
      <c r="M3" s="131"/>
      <c r="Q3" s="131"/>
      <c r="R3" s="405"/>
    </row>
    <row r="4" spans="1:18" ht="12.75" customHeight="1">
      <c r="D4" s="479" t="s">
        <v>4</v>
      </c>
      <c r="E4" s="479"/>
      <c r="F4" s="479"/>
      <c r="G4" s="479"/>
      <c r="H4" s="479"/>
      <c r="I4" s="479"/>
      <c r="L4" s="490" t="str">
        <f>IF(OR('Charter Contacts'!G7="",'Charter Contacts'!G8="",'Charter Contacts'!G10="",'Charter Contacts'!G12="",'Charter Contacts'!G13="",'Charter Contacts'!E18="",'Charter Contacts'!E19="",'Charter Contacts'!E20=""),"Please ensure the Charter Contacts tab is complete.","")</f>
        <v/>
      </c>
      <c r="M4" s="490"/>
      <c r="N4" s="490"/>
      <c r="O4" s="490"/>
      <c r="P4" s="490"/>
      <c r="Q4" s="490"/>
      <c r="R4" s="490"/>
    </row>
    <row r="5" spans="1:18" ht="12.75" customHeight="1">
      <c r="L5" s="490" t="str">
        <f>IF('Charter Contacts'!C30="","Please enter a SIS Vendor on the Charter Contacts tab.","")</f>
        <v/>
      </c>
      <c r="M5" s="490"/>
      <c r="N5" s="490"/>
      <c r="O5" s="490"/>
      <c r="P5" s="490"/>
      <c r="Q5" s="490"/>
      <c r="R5" s="490"/>
    </row>
    <row r="6" spans="1:18" ht="18" customHeight="1">
      <c r="A6" s="131"/>
      <c r="B6" s="507" t="s">
        <v>5</v>
      </c>
      <c r="C6" s="507"/>
      <c r="D6" s="507"/>
      <c r="E6" s="507"/>
      <c r="F6" s="507"/>
      <c r="G6" s="507"/>
      <c r="H6" s="507"/>
      <c r="I6" s="507"/>
      <c r="J6" s="91"/>
      <c r="K6" s="132" t="s">
        <v>6</v>
      </c>
      <c r="L6" s="508" t="s">
        <v>7</v>
      </c>
      <c r="M6" s="508"/>
      <c r="N6" s="508"/>
      <c r="O6" s="508"/>
      <c r="P6" s="508"/>
      <c r="Q6" s="425" t="s">
        <v>8</v>
      </c>
      <c r="R6" s="133">
        <f>[1]Cover!$R$13</f>
        <v>5544121</v>
      </c>
    </row>
    <row r="7" spans="1:18">
      <c r="A7" s="131"/>
      <c r="B7" s="131"/>
      <c r="C7" s="131"/>
      <c r="D7" s="131"/>
      <c r="E7" s="131"/>
      <c r="F7" s="131"/>
      <c r="G7" s="131"/>
      <c r="J7" s="91"/>
      <c r="K7" s="132"/>
      <c r="L7" s="508"/>
      <c r="M7" s="508"/>
      <c r="N7" s="508"/>
      <c r="O7" s="508"/>
      <c r="P7" s="508"/>
      <c r="Q7" s="425"/>
      <c r="R7" s="134"/>
    </row>
    <row r="8" spans="1:18" ht="18" customHeight="1">
      <c r="A8" s="131"/>
      <c r="B8" s="507" t="s">
        <v>9</v>
      </c>
      <c r="C8" s="507"/>
      <c r="D8" s="507"/>
      <c r="E8" s="507"/>
      <c r="F8" s="507"/>
      <c r="G8" s="507"/>
      <c r="H8" s="507"/>
      <c r="I8" s="507"/>
      <c r="J8" s="135"/>
      <c r="K8" s="132" t="s">
        <v>10</v>
      </c>
      <c r="L8" s="475" t="s">
        <v>11</v>
      </c>
      <c r="M8" s="475"/>
      <c r="N8" s="493"/>
      <c r="O8" s="493"/>
      <c r="P8" s="493"/>
      <c r="Q8" s="493"/>
      <c r="R8" s="134"/>
    </row>
    <row r="9" spans="1:18">
      <c r="A9" s="131"/>
      <c r="B9" s="131"/>
      <c r="C9" s="131"/>
      <c r="D9" s="131"/>
      <c r="E9" s="131"/>
      <c r="F9" s="131"/>
      <c r="G9" s="131"/>
      <c r="J9" s="91"/>
      <c r="L9" s="131"/>
      <c r="M9" s="131"/>
      <c r="N9" s="131"/>
      <c r="O9" t="s">
        <v>12</v>
      </c>
      <c r="P9" s="136" t="s">
        <v>13</v>
      </c>
      <c r="Q9" s="425" t="s">
        <v>8</v>
      </c>
      <c r="R9" s="7">
        <v>51105</v>
      </c>
    </row>
    <row r="10" spans="1:18" ht="12.75" customHeight="1">
      <c r="A10" s="131"/>
      <c r="B10" s="494" t="s">
        <v>14</v>
      </c>
      <c r="C10" s="494"/>
      <c r="D10" s="494"/>
      <c r="E10" s="494"/>
      <c r="F10" s="494"/>
      <c r="G10" s="494"/>
      <c r="H10" s="494"/>
      <c r="I10" s="494"/>
      <c r="J10" s="495"/>
      <c r="K10" s="132"/>
      <c r="L10" s="137"/>
      <c r="M10" s="137"/>
      <c r="N10" s="137"/>
      <c r="O10" t="s">
        <v>15</v>
      </c>
      <c r="P10" s="136" t="s">
        <v>16</v>
      </c>
      <c r="Q10" s="425" t="s">
        <v>8</v>
      </c>
      <c r="R10" s="7">
        <v>0</v>
      </c>
    </row>
    <row r="11" spans="1:18" ht="12.75" customHeight="1">
      <c r="A11" s="131"/>
      <c r="B11" s="494"/>
      <c r="C11" s="494"/>
      <c r="D11" s="494"/>
      <c r="E11" s="494"/>
      <c r="F11" s="494"/>
      <c r="G11" s="494"/>
      <c r="H11" s="494"/>
      <c r="I11" s="494"/>
      <c r="J11" s="495"/>
      <c r="O11" t="s">
        <v>17</v>
      </c>
      <c r="P11" s="136" t="s">
        <v>18</v>
      </c>
      <c r="Q11" s="425" t="s">
        <v>8</v>
      </c>
      <c r="R11" s="7">
        <v>4762770</v>
      </c>
    </row>
    <row r="12" spans="1:18" ht="12.75" customHeight="1">
      <c r="A12" s="131"/>
      <c r="B12" s="131"/>
      <c r="C12" s="131"/>
      <c r="D12" s="480" t="s">
        <v>33</v>
      </c>
      <c r="E12" s="480"/>
      <c r="F12" s="480"/>
      <c r="G12" s="480"/>
      <c r="H12" s="480"/>
      <c r="J12" s="91"/>
      <c r="O12" t="s">
        <v>19</v>
      </c>
      <c r="P12" s="136" t="s">
        <v>20</v>
      </c>
      <c r="Q12" s="425" t="s">
        <v>8</v>
      </c>
      <c r="R12" s="7">
        <v>651017</v>
      </c>
    </row>
    <row r="13" spans="1:18" ht="12.75" customHeight="1">
      <c r="B13" s="510" t="s">
        <v>21</v>
      </c>
      <c r="C13" s="510"/>
      <c r="D13" s="511"/>
      <c r="E13" s="511"/>
      <c r="F13" s="511"/>
      <c r="G13" s="511"/>
      <c r="H13" s="511"/>
      <c r="I13" s="510"/>
      <c r="J13" s="91"/>
      <c r="O13" t="s">
        <v>22</v>
      </c>
      <c r="Q13" s="425" t="s">
        <v>8</v>
      </c>
      <c r="R13" s="133">
        <f>SUM(R9:R12)</f>
        <v>5464892</v>
      </c>
    </row>
    <row r="14" spans="1:18" ht="12.75" customHeight="1">
      <c r="J14" s="91"/>
      <c r="P14" s="136"/>
      <c r="Q14" s="425"/>
      <c r="R14" s="134"/>
    </row>
    <row r="15" spans="1:18" ht="12.75" customHeight="1">
      <c r="J15" s="91"/>
      <c r="L15" s="491" t="s">
        <v>23</v>
      </c>
      <c r="M15" s="491"/>
      <c r="N15" s="491"/>
      <c r="O15" s="486" t="s">
        <v>568</v>
      </c>
      <c r="P15" s="486"/>
      <c r="Q15" s="486"/>
      <c r="R15" s="486"/>
    </row>
    <row r="16" spans="1:18" ht="12.75" customHeight="1">
      <c r="A16" s="405"/>
      <c r="B16" s="492" t="s">
        <v>24</v>
      </c>
      <c r="C16" s="492"/>
      <c r="D16" s="492"/>
      <c r="E16" s="492"/>
      <c r="F16" s="492"/>
      <c r="G16" s="492"/>
      <c r="H16" s="492"/>
      <c r="I16" s="492"/>
      <c r="J16" s="91"/>
      <c r="L16" t="s">
        <v>25</v>
      </c>
      <c r="M16" s="506">
        <v>5207923255</v>
      </c>
      <c r="N16" s="506"/>
      <c r="O16" s="425" t="s">
        <v>26</v>
      </c>
      <c r="P16" s="487" t="s">
        <v>570</v>
      </c>
      <c r="Q16" s="487"/>
      <c r="R16" s="487"/>
    </row>
    <row r="17" spans="1:21" ht="12.75" customHeight="1">
      <c r="J17" s="91"/>
      <c r="P17" s="136"/>
      <c r="Q17" s="425"/>
      <c r="R17" s="134"/>
    </row>
    <row r="18" spans="1:21" ht="12.75" customHeight="1">
      <c r="J18" s="91"/>
      <c r="L18" s="491" t="s">
        <v>27</v>
      </c>
      <c r="M18" s="491"/>
      <c r="N18" s="491"/>
      <c r="O18" s="491"/>
      <c r="P18" s="491"/>
      <c r="Q18" s="491"/>
      <c r="R18" s="491"/>
    </row>
    <row r="19" spans="1:21" ht="12.75" customHeight="1">
      <c r="B19" s="492" t="s">
        <v>28</v>
      </c>
      <c r="C19" s="492"/>
      <c r="D19" s="492"/>
      <c r="E19" s="492"/>
      <c r="F19" s="492"/>
      <c r="G19" s="492"/>
      <c r="H19" s="492"/>
      <c r="I19" s="492"/>
      <c r="J19" s="91"/>
      <c r="L19" s="491" t="s">
        <v>29</v>
      </c>
      <c r="M19" s="491"/>
      <c r="N19" s="491"/>
      <c r="O19" s="491"/>
      <c r="P19" s="509">
        <v>45484</v>
      </c>
      <c r="Q19" s="509"/>
      <c r="R19" s="509"/>
    </row>
    <row r="20" spans="1:21" ht="12.75" customHeight="1">
      <c r="C20" s="491" t="s">
        <v>30</v>
      </c>
      <c r="D20" s="491"/>
      <c r="F20" s="509">
        <v>45474</v>
      </c>
      <c r="G20" s="509"/>
      <c r="H20" s="509"/>
      <c r="I20" s="138" t="str">
        <f>IF(AND(ISNUMBER(SEARCH("Proposed*",D12)),F20=""),"Please enter a Proposed Date","")</f>
        <v/>
      </c>
      <c r="J20" s="91"/>
      <c r="L20" s="477" t="s">
        <v>31</v>
      </c>
      <c r="M20" s="477"/>
      <c r="N20" s="477"/>
      <c r="O20" s="477"/>
      <c r="P20" s="479" t="s">
        <v>32</v>
      </c>
      <c r="Q20" s="479"/>
      <c r="R20" s="479"/>
    </row>
    <row r="21" spans="1:21" ht="12.75" customHeight="1">
      <c r="C21" s="491" t="s">
        <v>33</v>
      </c>
      <c r="D21" s="491"/>
      <c r="F21" s="484">
        <v>45484</v>
      </c>
      <c r="G21" s="484"/>
      <c r="H21" s="484"/>
      <c r="I21" s="138" t="str">
        <f>IF(AND(ISNUMBER(SEARCH("Adopted*",D12)),F21=""),"Please enter an Adopted Date","")</f>
        <v/>
      </c>
      <c r="J21" s="91"/>
      <c r="L21" s="505"/>
      <c r="M21" s="505"/>
      <c r="N21" s="505"/>
      <c r="O21" s="505"/>
      <c r="P21" s="505"/>
      <c r="Q21" s="505"/>
      <c r="R21" s="505"/>
    </row>
    <row r="22" spans="1:21" ht="12.75" customHeight="1">
      <c r="A22" s="405"/>
      <c r="C22" s="491" t="s">
        <v>34</v>
      </c>
      <c r="D22" s="491"/>
      <c r="F22" s="484"/>
      <c r="G22" s="484"/>
      <c r="H22" s="484"/>
      <c r="I22" s="139" t="str">
        <f>IF(AND(ISNUMBER(SEARCH("Revised*",D12)),F22=""),"Please enter a Revised Date","")</f>
        <v/>
      </c>
      <c r="J22" s="140"/>
      <c r="L22" s="480"/>
      <c r="M22" s="480"/>
      <c r="N22" s="480"/>
      <c r="O22" s="141"/>
      <c r="P22" s="480"/>
      <c r="Q22" s="480"/>
      <c r="R22" s="480"/>
    </row>
    <row r="23" spans="1:21" ht="12.75" customHeight="1">
      <c r="F23" s="479" t="s">
        <v>35</v>
      </c>
      <c r="G23" s="479"/>
      <c r="H23" s="479"/>
      <c r="J23" s="91"/>
      <c r="L23" s="479" t="s">
        <v>36</v>
      </c>
      <c r="M23" s="479"/>
      <c r="N23" s="479"/>
      <c r="O23" s="142"/>
      <c r="P23" s="479" t="s">
        <v>36</v>
      </c>
      <c r="Q23" s="479"/>
      <c r="R23" s="479"/>
      <c r="S23" s="143"/>
      <c r="T23" s="143"/>
      <c r="U23" s="143"/>
    </row>
    <row r="24" spans="1:21" ht="12.75" customHeight="1">
      <c r="B24" s="39"/>
      <c r="E24" s="144"/>
      <c r="J24" s="91"/>
    </row>
    <row r="25" spans="1:21" ht="12.75" customHeight="1">
      <c r="A25" s="481"/>
      <c r="B25" s="481"/>
      <c r="C25" s="481"/>
      <c r="D25" s="481"/>
      <c r="E25" s="481"/>
      <c r="F25" s="481"/>
      <c r="G25" s="481"/>
      <c r="H25" s="481"/>
      <c r="I25" s="481"/>
      <c r="J25" s="482"/>
      <c r="L25" s="477" t="str">
        <f>IF(OR(L26="",P26=""),"Please enter typed school official names","")</f>
        <v/>
      </c>
      <c r="M25" s="477"/>
      <c r="N25" s="477"/>
      <c r="O25" s="477"/>
      <c r="P25" s="477"/>
      <c r="Q25" s="477"/>
      <c r="R25" s="477"/>
      <c r="U25" s="145"/>
    </row>
    <row r="26" spans="1:21" ht="12.75" customHeight="1">
      <c r="A26" s="481"/>
      <c r="B26" s="481"/>
      <c r="C26" s="481"/>
      <c r="D26" s="481"/>
      <c r="E26" s="481"/>
      <c r="F26" s="481"/>
      <c r="G26" s="481"/>
      <c r="H26" s="481"/>
      <c r="I26" s="481"/>
      <c r="J26" s="482"/>
      <c r="L26" s="480" t="s">
        <v>568</v>
      </c>
      <c r="M26" s="480"/>
      <c r="N26" s="480"/>
      <c r="O26" s="142"/>
      <c r="P26" s="480" t="s">
        <v>569</v>
      </c>
      <c r="Q26" s="480"/>
      <c r="R26" s="480"/>
    </row>
    <row r="27" spans="1:21" ht="12.75" customHeight="1">
      <c r="A27" s="481"/>
      <c r="B27" s="481"/>
      <c r="C27" s="481"/>
      <c r="D27" s="481"/>
      <c r="E27" s="481"/>
      <c r="F27" s="481"/>
      <c r="G27" s="481"/>
      <c r="H27" s="481"/>
      <c r="I27" s="481"/>
      <c r="J27" s="482"/>
      <c r="L27" s="479" t="s">
        <v>37</v>
      </c>
      <c r="M27" s="479"/>
      <c r="N27" s="479"/>
      <c r="O27" s="142"/>
      <c r="P27" s="479" t="s">
        <v>37</v>
      </c>
      <c r="Q27" s="479"/>
      <c r="R27" s="479"/>
    </row>
    <row r="28" spans="1:21" ht="12.75" customHeight="1">
      <c r="B28" s="405"/>
      <c r="C28" s="39"/>
      <c r="D28" s="39"/>
      <c r="F28" s="405"/>
      <c r="G28" s="146"/>
      <c r="H28" s="131"/>
      <c r="I28" s="131"/>
      <c r="J28" s="135"/>
    </row>
    <row r="29" spans="1:21" ht="12.75" customHeight="1">
      <c r="A29" s="480"/>
      <c r="B29" s="480"/>
      <c r="C29" s="480"/>
      <c r="D29" s="480"/>
      <c r="E29" s="480"/>
      <c r="F29" s="405"/>
      <c r="G29" s="478"/>
      <c r="H29" s="478"/>
      <c r="I29" s="478"/>
      <c r="J29" s="135"/>
      <c r="L29" s="475" t="s">
        <v>38</v>
      </c>
      <c r="M29" s="475"/>
      <c r="N29" s="476"/>
      <c r="O29" s="476"/>
      <c r="P29" s="476"/>
      <c r="Q29" s="476"/>
      <c r="R29" s="476"/>
      <c r="S29" s="475"/>
    </row>
    <row r="30" spans="1:21" ht="12.75" customHeight="1" thickBot="1">
      <c r="H30" s="131"/>
      <c r="I30" s="131"/>
      <c r="J30" s="135"/>
      <c r="L30" s="477" t="str">
        <f>IF((BudgetYearSalary)=0,"Average teacher salary information is not complete.",IF(AND((PriorYearSalary)=0,(L31)=""),"Average teacher salary information is not complete.",""))</f>
        <v/>
      </c>
      <c r="M30" s="477"/>
      <c r="N30" s="477"/>
      <c r="O30" s="477"/>
      <c r="P30" s="477"/>
      <c r="Q30" s="477"/>
      <c r="R30" s="477"/>
      <c r="S30" s="3"/>
    </row>
    <row r="31" spans="1:21" ht="12.75" customHeight="1" thickBot="1">
      <c r="A31" s="480"/>
      <c r="B31" s="480"/>
      <c r="C31" s="480"/>
      <c r="D31" s="480"/>
      <c r="E31" s="480"/>
      <c r="F31" s="405"/>
      <c r="G31" s="478"/>
      <c r="H31" s="478"/>
      <c r="I31" s="478"/>
      <c r="J31" s="91"/>
      <c r="L31" s="31"/>
      <c r="M31" s="147" t="s">
        <v>39</v>
      </c>
      <c r="N31" s="94"/>
      <c r="O31" s="94"/>
      <c r="P31" s="94"/>
      <c r="Q31" s="94"/>
      <c r="R31" s="94"/>
    </row>
    <row r="32" spans="1:21" ht="12.75" customHeight="1">
      <c r="J32" s="91"/>
      <c r="L32" s="147" t="s">
        <v>40</v>
      </c>
      <c r="M32" s="148"/>
      <c r="N32" s="148"/>
      <c r="O32" s="149"/>
      <c r="P32" s="149"/>
      <c r="Q32" s="425" t="s">
        <v>8</v>
      </c>
      <c r="R32" s="23">
        <v>44267</v>
      </c>
      <c r="S32" s="150" t="str">
        <f>IF(OR(BudgetYearSalary=0,PriorYearSalary=0),1/ERROR,"")</f>
        <v/>
      </c>
    </row>
    <row r="33" spans="1:18" ht="12.75" customHeight="1">
      <c r="A33" s="480"/>
      <c r="B33" s="480"/>
      <c r="C33" s="480"/>
      <c r="D33" s="480"/>
      <c r="E33" s="480"/>
      <c r="F33" s="405"/>
      <c r="G33" s="478"/>
      <c r="H33" s="478"/>
      <c r="I33" s="478"/>
      <c r="J33" s="91"/>
      <c r="L33" s="147" t="s">
        <v>41</v>
      </c>
      <c r="O33" s="149"/>
      <c r="P33" s="149"/>
      <c r="Q33" s="425" t="s">
        <v>8</v>
      </c>
      <c r="R33" s="7">
        <v>40034</v>
      </c>
    </row>
    <row r="34" spans="1:18" ht="12.75" customHeight="1">
      <c r="J34" s="91"/>
      <c r="L34" s="147" t="s">
        <v>42</v>
      </c>
      <c r="O34" s="149"/>
      <c r="P34" s="149"/>
      <c r="Q34" s="425" t="s">
        <v>8</v>
      </c>
      <c r="R34" s="133">
        <f>R32-R33</f>
        <v>4233</v>
      </c>
    </row>
    <row r="35" spans="1:18" ht="12.75" customHeight="1">
      <c r="A35" s="480"/>
      <c r="B35" s="480"/>
      <c r="C35" s="480"/>
      <c r="D35" s="480"/>
      <c r="E35" s="480"/>
      <c r="F35" s="405"/>
      <c r="G35" s="478"/>
      <c r="H35" s="478"/>
      <c r="I35" s="478"/>
      <c r="J35" s="91"/>
      <c r="L35" s="147" t="s">
        <v>43</v>
      </c>
      <c r="Q35" s="425"/>
      <c r="R35" s="151">
        <f>IF(PriorYearSalary&gt;0,R34/R33,0)</f>
        <v>0.106</v>
      </c>
    </row>
    <row r="36" spans="1:18" ht="12.75" customHeight="1">
      <c r="D36" s="131"/>
      <c r="E36" s="131"/>
      <c r="F36" s="131"/>
      <c r="G36" s="131"/>
      <c r="J36" s="91"/>
      <c r="L36" s="496" t="s">
        <v>613</v>
      </c>
      <c r="M36" s="497"/>
      <c r="N36" s="497"/>
      <c r="O36" s="497"/>
      <c r="P36" s="497"/>
      <c r="Q36" s="497"/>
      <c r="R36" s="498"/>
    </row>
    <row r="37" spans="1:18" ht="12.75" customHeight="1">
      <c r="A37" s="480"/>
      <c r="B37" s="480"/>
      <c r="C37" s="480"/>
      <c r="D37" s="480"/>
      <c r="E37" s="480"/>
      <c r="F37" s="405"/>
      <c r="G37" s="478"/>
      <c r="H37" s="478"/>
      <c r="I37" s="478"/>
      <c r="K37" s="53"/>
      <c r="L37" s="499"/>
      <c r="M37" s="500"/>
      <c r="N37" s="500"/>
      <c r="O37" s="500"/>
      <c r="P37" s="500"/>
      <c r="Q37" s="500"/>
      <c r="R37" s="501"/>
    </row>
    <row r="38" spans="1:18" ht="12.75" customHeight="1">
      <c r="D38" s="131"/>
      <c r="E38" s="131"/>
      <c r="F38" s="131"/>
      <c r="G38" s="131"/>
      <c r="K38" s="53"/>
      <c r="L38" s="499"/>
      <c r="M38" s="500"/>
      <c r="N38" s="500"/>
      <c r="O38" s="500"/>
      <c r="P38" s="500"/>
      <c r="Q38" s="500"/>
      <c r="R38" s="501"/>
    </row>
    <row r="39" spans="1:18" ht="12.75" customHeight="1">
      <c r="A39" s="480"/>
      <c r="B39" s="480"/>
      <c r="C39" s="480"/>
      <c r="D39" s="480"/>
      <c r="E39" s="480"/>
      <c r="F39" s="405"/>
      <c r="G39" s="478"/>
      <c r="H39" s="478"/>
      <c r="I39" s="478"/>
      <c r="K39" s="53"/>
      <c r="L39" s="499"/>
      <c r="M39" s="500"/>
      <c r="N39" s="500"/>
      <c r="O39" s="500"/>
      <c r="P39" s="500"/>
      <c r="Q39" s="500"/>
      <c r="R39" s="501"/>
    </row>
    <row r="40" spans="1:18" ht="12.75" customHeight="1">
      <c r="D40" s="131"/>
      <c r="E40" s="131"/>
      <c r="F40" s="131"/>
      <c r="G40" s="131"/>
      <c r="K40" s="53"/>
      <c r="L40" s="499"/>
      <c r="M40" s="500"/>
      <c r="N40" s="500"/>
      <c r="O40" s="500"/>
      <c r="P40" s="500"/>
      <c r="Q40" s="500"/>
      <c r="R40" s="501"/>
    </row>
    <row r="41" spans="1:18" ht="12.75" customHeight="1">
      <c r="A41" s="480"/>
      <c r="B41" s="480"/>
      <c r="C41" s="480"/>
      <c r="D41" s="480"/>
      <c r="E41" s="480"/>
      <c r="F41" s="405"/>
      <c r="G41" s="478"/>
      <c r="H41" s="478"/>
      <c r="I41" s="478"/>
      <c r="K41" s="53"/>
      <c r="L41" s="499"/>
      <c r="M41" s="500"/>
      <c r="N41" s="500"/>
      <c r="O41" s="500"/>
      <c r="P41" s="500"/>
      <c r="Q41" s="500"/>
      <c r="R41" s="501"/>
    </row>
    <row r="42" spans="1:18" ht="12.75" customHeight="1">
      <c r="A42" s="479" t="s">
        <v>44</v>
      </c>
      <c r="B42" s="479"/>
      <c r="C42" s="479"/>
      <c r="D42" s="479"/>
      <c r="E42" s="479"/>
      <c r="F42" s="152"/>
      <c r="G42" s="479" t="s">
        <v>45</v>
      </c>
      <c r="H42" s="479"/>
      <c r="I42" s="479"/>
      <c r="K42" s="53"/>
      <c r="L42" s="502"/>
      <c r="M42" s="503"/>
      <c r="N42" s="503"/>
      <c r="O42" s="503"/>
      <c r="P42" s="503"/>
      <c r="Q42" s="503"/>
      <c r="R42" s="504"/>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 right="0.7" top="0.75" bottom="0.75" header="0.3" footer="0.3"/>
  <pageSetup scale="75"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0"/>
  <sheetViews>
    <sheetView showGridLines="0" topLeftCell="A43" zoomScaleSheetLayoutView="100" workbookViewId="0">
      <selection activeCell="L9" sqref="L9"/>
    </sheetView>
  </sheetViews>
  <sheetFormatPr defaultColWidth="11" defaultRowHeight="12"/>
  <cols>
    <col min="1" max="1" width="3.42578125" style="37" customWidth="1"/>
    <col min="2" max="2" width="2.42578125" style="37" customWidth="1"/>
    <col min="3" max="3" width="4" style="37" customWidth="1"/>
    <col min="4" max="4" width="4.42578125" style="37" customWidth="1"/>
    <col min="5" max="5" width="7.5703125" style="37" customWidth="1"/>
    <col min="6" max="7" width="11" style="37" customWidth="1"/>
    <col min="8" max="9" width="11.5703125" style="37" customWidth="1"/>
    <col min="10" max="10" width="12.5703125" style="37" customWidth="1"/>
    <col min="11" max="11" width="2.5703125" style="37" customWidth="1"/>
    <col min="12" max="12" width="14" style="37" customWidth="1"/>
    <col min="13" max="13" width="1.5703125" style="37" customWidth="1"/>
    <col min="14" max="14" width="14.5703125" style="37" customWidth="1"/>
    <col min="15" max="15" width="11" style="37" customWidth="1"/>
    <col min="16" max="16" width="7.5703125" style="37" customWidth="1"/>
    <col min="17" max="18" width="11" style="37" customWidth="1"/>
    <col min="19" max="19" width="7.42578125" style="37" customWidth="1"/>
    <col min="20" max="22" width="11" style="37" customWidth="1"/>
    <col min="23" max="23" width="7.42578125" style="37" customWidth="1"/>
    <col min="24" max="26" width="11" style="37" customWidth="1"/>
    <col min="27" max="27" width="7.42578125" style="37" customWidth="1"/>
    <col min="28" max="31" width="11" style="37" customWidth="1"/>
    <col min="32" max="16384" width="11" style="37"/>
  </cols>
  <sheetData>
    <row r="1" spans="1:15" ht="15.75" customHeight="1">
      <c r="A1" s="634" t="s">
        <v>0</v>
      </c>
      <c r="B1" s="634"/>
      <c r="C1" s="634"/>
      <c r="D1" s="634"/>
      <c r="E1" s="535" t="str">
        <f>CharterName</f>
        <v>Tucson International Academy</v>
      </c>
      <c r="F1" s="535"/>
      <c r="G1" s="535"/>
      <c r="H1" s="425" t="s">
        <v>1</v>
      </c>
      <c r="I1" s="426" t="str">
        <f>Cover!M1</f>
        <v>Pima</v>
      </c>
      <c r="J1" s="634" t="s">
        <v>2</v>
      </c>
      <c r="K1" s="634"/>
      <c r="L1" s="536" t="str">
        <f>CTD</f>
        <v>108714000</v>
      </c>
      <c r="M1" s="536"/>
      <c r="N1" s="35"/>
      <c r="O1" s="36"/>
    </row>
    <row r="2" spans="1:15" ht="15.75" customHeight="1">
      <c r="A2" s="35"/>
      <c r="B2" s="35"/>
      <c r="C2" s="35"/>
      <c r="D2" s="35"/>
      <c r="E2" s="38"/>
      <c r="F2" s="38"/>
      <c r="G2" s="38"/>
      <c r="H2" s="35"/>
      <c r="I2" s="38"/>
      <c r="J2" s="35"/>
      <c r="K2" s="35"/>
      <c r="L2" s="36"/>
      <c r="M2" s="36"/>
      <c r="N2" s="35"/>
      <c r="O2" s="36"/>
    </row>
    <row r="3" spans="1:15" ht="15.75" customHeight="1">
      <c r="A3" s="35"/>
      <c r="B3" s="35"/>
      <c r="C3" s="35"/>
      <c r="D3" s="35"/>
      <c r="E3" s="38"/>
      <c r="F3" s="38"/>
      <c r="G3" s="38"/>
      <c r="H3" s="35"/>
      <c r="I3" s="38"/>
      <c r="J3" s="35"/>
      <c r="K3" s="35"/>
      <c r="L3" s="36"/>
      <c r="M3" s="36"/>
      <c r="N3" s="35"/>
      <c r="O3" s="36"/>
    </row>
    <row r="4" spans="1:15" ht="15.75" customHeight="1">
      <c r="A4" s="35"/>
      <c r="B4" s="35"/>
      <c r="C4" s="35"/>
      <c r="D4" s="35"/>
      <c r="E4" s="38"/>
      <c r="F4" s="38"/>
      <c r="G4" s="38"/>
      <c r="H4" s="35"/>
      <c r="I4" s="38"/>
      <c r="J4" s="35"/>
      <c r="K4" s="35"/>
      <c r="L4" s="36"/>
      <c r="M4" s="36"/>
      <c r="N4" s="35"/>
      <c r="O4" s="36"/>
    </row>
    <row r="5" spans="1:15" ht="15.75" customHeight="1">
      <c r="A5" s="1" t="s">
        <v>379</v>
      </c>
      <c r="B5" s="35"/>
      <c r="C5" s="39"/>
      <c r="D5" s="39"/>
      <c r="E5" s="39"/>
      <c r="F5" s="39"/>
      <c r="G5" s="39"/>
      <c r="H5" s="39"/>
      <c r="I5" s="38"/>
      <c r="J5" s="35"/>
      <c r="K5" s="35"/>
      <c r="L5" s="36"/>
      <c r="M5" s="36"/>
      <c r="N5" s="35"/>
      <c r="O5" s="36"/>
    </row>
    <row r="6" spans="1:15" ht="15.75" customHeight="1">
      <c r="A6" s="1"/>
      <c r="B6" s="35"/>
      <c r="C6" s="40" t="s">
        <v>380</v>
      </c>
      <c r="D6" s="41"/>
      <c r="E6" s="41"/>
      <c r="F6" s="41"/>
      <c r="G6" s="41"/>
      <c r="H6" s="41"/>
      <c r="I6" s="42"/>
      <c r="J6" s="43"/>
      <c r="K6" s="43"/>
      <c r="L6" s="44"/>
      <c r="M6" s="44"/>
      <c r="N6" s="43"/>
      <c r="O6" s="36"/>
    </row>
    <row r="7" spans="1:15" ht="15.75" customHeight="1" thickBot="1">
      <c r="A7" s="35"/>
      <c r="B7" s="35"/>
      <c r="C7" s="45" t="s">
        <v>381</v>
      </c>
      <c r="D7" s="45"/>
      <c r="E7" s="46"/>
      <c r="F7" s="46"/>
      <c r="G7" s="46"/>
      <c r="H7" s="46"/>
      <c r="I7" s="47"/>
      <c r="J7" s="48"/>
      <c r="K7" s="49"/>
      <c r="L7" s="50" t="s">
        <v>325</v>
      </c>
      <c r="M7" s="51"/>
      <c r="N7" s="52" t="s">
        <v>326</v>
      </c>
      <c r="O7" s="36"/>
    </row>
    <row r="8" spans="1:15" ht="15.75" customHeight="1" thickTop="1">
      <c r="A8" s="35"/>
      <c r="B8" s="35"/>
      <c r="C8" s="53" t="s">
        <v>382</v>
      </c>
      <c r="D8"/>
      <c r="E8"/>
      <c r="F8" s="54"/>
      <c r="G8" s="54"/>
      <c r="H8" s="54"/>
      <c r="I8" s="38"/>
      <c r="J8" s="35"/>
      <c r="K8" s="55"/>
      <c r="L8"/>
      <c r="M8" s="53"/>
      <c r="N8" s="56"/>
      <c r="O8" s="36"/>
    </row>
    <row r="9" spans="1:15" ht="15.75" customHeight="1" thickBot="1">
      <c r="A9" s="35"/>
      <c r="B9" s="35"/>
      <c r="C9" s="57"/>
      <c r="D9" s="58" t="s">
        <v>383</v>
      </c>
      <c r="E9" s="58"/>
      <c r="F9" s="58"/>
      <c r="G9" s="58"/>
      <c r="H9" s="58"/>
      <c r="I9" s="59"/>
      <c r="J9" s="60"/>
      <c r="K9" s="61"/>
      <c r="L9" s="62">
        <v>1.399</v>
      </c>
      <c r="M9" s="63"/>
      <c r="N9" s="64">
        <v>1.5589999999999999</v>
      </c>
      <c r="O9" s="36"/>
    </row>
    <row r="10" spans="1:15" ht="15.75" customHeight="1" thickTop="1">
      <c r="A10" s="35"/>
      <c r="B10" s="35"/>
      <c r="C10" s="65" t="s">
        <v>384</v>
      </c>
      <c r="D10"/>
      <c r="E10"/>
      <c r="F10" s="66"/>
      <c r="G10" s="66"/>
      <c r="H10" s="66"/>
      <c r="I10" s="38"/>
      <c r="J10" s="35"/>
      <c r="K10" s="67"/>
      <c r="L10" s="68"/>
      <c r="M10" s="53"/>
      <c r="N10" s="69"/>
      <c r="O10" s="36"/>
    </row>
    <row r="11" spans="1:15" ht="15.75" customHeight="1">
      <c r="A11" s="35"/>
      <c r="B11" s="35"/>
      <c r="C11" s="53"/>
      <c r="D11" t="s">
        <v>385</v>
      </c>
      <c r="E11"/>
      <c r="F11"/>
      <c r="G11"/>
      <c r="H11"/>
      <c r="I11" s="38"/>
      <c r="J11" s="35"/>
      <c r="K11" s="420"/>
      <c r="L11" s="70">
        <v>500</v>
      </c>
      <c r="M11" s="71"/>
      <c r="N11" s="72">
        <v>500</v>
      </c>
      <c r="O11" s="36"/>
    </row>
    <row r="12" spans="1:15" ht="15.75" customHeight="1">
      <c r="A12" s="35"/>
      <c r="B12" s="35"/>
      <c r="C12" s="53"/>
      <c r="D12" t="s">
        <v>386</v>
      </c>
      <c r="E12"/>
      <c r="F12"/>
      <c r="G12"/>
      <c r="H12"/>
      <c r="I12" s="38"/>
      <c r="J12" s="35"/>
      <c r="K12" s="420" t="s">
        <v>387</v>
      </c>
      <c r="L12" s="73">
        <f>IF('Data Entry'!I20&gt;99.999,IF('Data Entry'!I20&lt;500,'Data Entry'!I20,0),0)</f>
        <v>293.5</v>
      </c>
      <c r="M12" s="420" t="s">
        <v>387</v>
      </c>
      <c r="N12" s="74">
        <f>IF('Data Entry'!L20&gt;99.999,IF('Data Entry'!L20&lt;500,'Data Entry'!L20,0),0)</f>
        <v>133</v>
      </c>
      <c r="O12" s="36"/>
    </row>
    <row r="13" spans="1:15" ht="15.75" customHeight="1">
      <c r="A13" s="35"/>
      <c r="B13" s="35"/>
      <c r="C13" s="53"/>
      <c r="D13" t="s">
        <v>388</v>
      </c>
      <c r="E13"/>
      <c r="F13"/>
      <c r="G13"/>
      <c r="H13"/>
      <c r="I13" s="38"/>
      <c r="J13" s="35"/>
      <c r="K13" s="75" t="s">
        <v>332</v>
      </c>
      <c r="L13" s="73">
        <f>IF(L12&gt;0,ROUND(+L11-L12,4),0)</f>
        <v>206.5</v>
      </c>
      <c r="M13" s="76" t="s">
        <v>332</v>
      </c>
      <c r="N13" s="74">
        <f>IF(N12&gt;0,ROUND(+N11-N12,4),0)</f>
        <v>367</v>
      </c>
      <c r="O13" s="36"/>
    </row>
    <row r="14" spans="1:15" ht="15.75" customHeight="1">
      <c r="A14" s="35"/>
      <c r="B14" s="35"/>
      <c r="C14" s="53"/>
      <c r="D14" t="s">
        <v>389</v>
      </c>
      <c r="E14"/>
      <c r="F14"/>
      <c r="G14"/>
      <c r="H14"/>
      <c r="I14" s="38"/>
      <c r="J14" s="35"/>
      <c r="K14" s="75" t="s">
        <v>298</v>
      </c>
      <c r="L14" s="73">
        <v>2.9999999999999997E-4</v>
      </c>
      <c r="M14" s="75" t="s">
        <v>298</v>
      </c>
      <c r="N14" s="74">
        <v>4.0000000000000002E-4</v>
      </c>
      <c r="O14" s="36"/>
    </row>
    <row r="15" spans="1:15" ht="15.75" customHeight="1">
      <c r="A15" s="35"/>
      <c r="B15" s="35"/>
      <c r="C15" s="53"/>
      <c r="D15" t="s">
        <v>390</v>
      </c>
      <c r="E15"/>
      <c r="F15"/>
      <c r="G15"/>
      <c r="H15"/>
      <c r="I15" s="38"/>
      <c r="J15" s="35"/>
      <c r="K15" s="75" t="s">
        <v>332</v>
      </c>
      <c r="L15" s="73">
        <f>IF(L12&gt;0,ROUND(L13*L14,4),0)</f>
        <v>6.2E-2</v>
      </c>
      <c r="M15" s="420" t="s">
        <v>332</v>
      </c>
      <c r="N15" s="74">
        <f>IF(N12&gt;0,ROUND(N13*N14,4),0)</f>
        <v>0.14680000000000001</v>
      </c>
      <c r="O15" s="36"/>
    </row>
    <row r="16" spans="1:15" ht="15.75" customHeight="1">
      <c r="A16" s="35"/>
      <c r="B16" s="35"/>
      <c r="C16" s="53"/>
      <c r="D16" t="s">
        <v>391</v>
      </c>
      <c r="E16"/>
      <c r="F16"/>
      <c r="G16"/>
      <c r="H16"/>
      <c r="I16" s="38"/>
      <c r="J16" s="35"/>
      <c r="K16" s="75" t="s">
        <v>329</v>
      </c>
      <c r="L16" s="73">
        <v>1.278</v>
      </c>
      <c r="M16" s="75" t="s">
        <v>329</v>
      </c>
      <c r="N16" s="74">
        <v>1.3979999999999999</v>
      </c>
      <c r="O16" s="36"/>
    </row>
    <row r="17" spans="1:15" ht="15.75" customHeight="1" thickBot="1">
      <c r="A17" s="35"/>
      <c r="B17" s="35"/>
      <c r="C17" s="57"/>
      <c r="D17" s="58" t="s">
        <v>392</v>
      </c>
      <c r="E17" s="58"/>
      <c r="F17" s="58"/>
      <c r="G17" s="58"/>
      <c r="H17" s="58"/>
      <c r="I17" s="59"/>
      <c r="J17" s="60"/>
      <c r="K17" s="77" t="s">
        <v>332</v>
      </c>
      <c r="L17" s="78">
        <f>IF(L12&gt;0,ROUND(+L15+L16,4),0)</f>
        <v>1.34</v>
      </c>
      <c r="M17" s="63" t="s">
        <v>332</v>
      </c>
      <c r="N17" s="79">
        <f>IF(N12&gt;0,ROUND(+N15+N16,4),0)</f>
        <v>1.5448</v>
      </c>
      <c r="O17" s="36"/>
    </row>
    <row r="18" spans="1:15" ht="15.75" customHeight="1" thickTop="1">
      <c r="A18" s="35"/>
      <c r="B18" s="35"/>
      <c r="C18" s="65" t="s">
        <v>393</v>
      </c>
      <c r="D18"/>
      <c r="E18"/>
      <c r="F18" s="66"/>
      <c r="G18" s="66"/>
      <c r="H18" s="66"/>
      <c r="I18" s="38"/>
      <c r="J18" s="35"/>
      <c r="K18" s="67"/>
      <c r="L18" s="80"/>
      <c r="M18" s="53"/>
      <c r="N18" s="69"/>
      <c r="O18" s="36"/>
    </row>
    <row r="19" spans="1:15" ht="15.75" customHeight="1">
      <c r="A19" s="35"/>
      <c r="B19" s="35"/>
      <c r="C19" s="53"/>
      <c r="D19" t="s">
        <v>385</v>
      </c>
      <c r="E19"/>
      <c r="F19"/>
      <c r="G19"/>
      <c r="H19"/>
      <c r="I19" s="38"/>
      <c r="J19" s="35"/>
      <c r="K19" s="53"/>
      <c r="L19" s="81">
        <v>600</v>
      </c>
      <c r="M19" s="71"/>
      <c r="N19" s="74">
        <v>600</v>
      </c>
      <c r="O19" s="36"/>
    </row>
    <row r="20" spans="1:15" ht="15.75" customHeight="1">
      <c r="A20" s="35"/>
      <c r="B20" s="35"/>
      <c r="C20" s="53"/>
      <c r="D20" t="s">
        <v>386</v>
      </c>
      <c r="E20"/>
      <c r="F20"/>
      <c r="G20"/>
      <c r="H20"/>
      <c r="I20" s="38"/>
      <c r="J20" s="35"/>
      <c r="K20" s="423" t="s">
        <v>387</v>
      </c>
      <c r="L20" s="73">
        <f>IF('Data Entry'!I20&gt;499.999,IF('Data Entry'!I20&lt;600,'Data Entry'!I20,0),0)</f>
        <v>0</v>
      </c>
      <c r="M20" s="420" t="s">
        <v>387</v>
      </c>
      <c r="N20" s="74">
        <f>IF('Data Entry'!L20&gt;499.999,IF('Data Entry'!L20&lt;600,'Data Entry'!L20,0),0)</f>
        <v>0</v>
      </c>
      <c r="O20" s="36"/>
    </row>
    <row r="21" spans="1:15" ht="15.75" customHeight="1">
      <c r="A21" s="35"/>
      <c r="B21" s="35"/>
      <c r="C21" s="53"/>
      <c r="D21" t="s">
        <v>388</v>
      </c>
      <c r="E21"/>
      <c r="F21"/>
      <c r="G21"/>
      <c r="H21"/>
      <c r="I21" s="38"/>
      <c r="J21" s="35"/>
      <c r="K21" s="82" t="s">
        <v>332</v>
      </c>
      <c r="L21" s="73">
        <f>IF(L20&gt;0,ROUND(+L19-L20,4),0)</f>
        <v>0</v>
      </c>
      <c r="M21" s="76" t="s">
        <v>332</v>
      </c>
      <c r="N21" s="74">
        <f>IF(N20&gt;0,ROUND(+N19-N20,4),0)</f>
        <v>0</v>
      </c>
      <c r="O21" s="36"/>
    </row>
    <row r="22" spans="1:15" ht="15.75" customHeight="1">
      <c r="A22" s="35"/>
      <c r="B22" s="35"/>
      <c r="C22" s="53"/>
      <c r="D22" t="s">
        <v>389</v>
      </c>
      <c r="E22"/>
      <c r="F22"/>
      <c r="G22"/>
      <c r="H22"/>
      <c r="I22" s="38"/>
      <c r="J22" s="35"/>
      <c r="K22" s="423" t="s">
        <v>298</v>
      </c>
      <c r="L22" s="73">
        <v>1.1999999999999999E-3</v>
      </c>
      <c r="M22" s="75" t="s">
        <v>298</v>
      </c>
      <c r="N22" s="74">
        <v>1.2999999999999999E-3</v>
      </c>
      <c r="O22" s="36"/>
    </row>
    <row r="23" spans="1:15" ht="15.75" customHeight="1">
      <c r="A23" s="35"/>
      <c r="B23" s="35"/>
      <c r="C23" s="53"/>
      <c r="D23" t="s">
        <v>390</v>
      </c>
      <c r="E23"/>
      <c r="F23"/>
      <c r="G23"/>
      <c r="H23"/>
      <c r="I23" s="38"/>
      <c r="J23" s="35"/>
      <c r="K23" s="82" t="s">
        <v>332</v>
      </c>
      <c r="L23" s="73">
        <f>IF(L20&gt;0,ROUND(L21*L22,4),0)</f>
        <v>0</v>
      </c>
      <c r="M23" s="420" t="s">
        <v>332</v>
      </c>
      <c r="N23" s="74">
        <f>IF(N20&gt;0,ROUND(N21*N22,4),0)</f>
        <v>0</v>
      </c>
      <c r="O23" s="36"/>
    </row>
    <row r="24" spans="1:15" ht="15.75" customHeight="1">
      <c r="A24" s="35"/>
      <c r="B24" s="35"/>
      <c r="C24" s="53"/>
      <c r="D24" t="s">
        <v>391</v>
      </c>
      <c r="E24"/>
      <c r="F24"/>
      <c r="G24"/>
      <c r="H24"/>
      <c r="I24" s="38"/>
      <c r="J24" s="35"/>
      <c r="K24" s="423" t="s">
        <v>329</v>
      </c>
      <c r="L24" s="73">
        <v>1.1579999999999999</v>
      </c>
      <c r="M24" s="420" t="s">
        <v>329</v>
      </c>
      <c r="N24" s="74">
        <v>1.268</v>
      </c>
      <c r="O24" s="36"/>
    </row>
    <row r="25" spans="1:15" ht="15.75" customHeight="1" thickBot="1">
      <c r="A25" s="35"/>
      <c r="B25" s="35"/>
      <c r="C25" s="57"/>
      <c r="D25" s="58" t="s">
        <v>392</v>
      </c>
      <c r="E25" s="58"/>
      <c r="F25" s="58"/>
      <c r="G25" s="58"/>
      <c r="H25" s="58"/>
      <c r="I25" s="59"/>
      <c r="J25" s="60"/>
      <c r="K25" s="83" t="s">
        <v>332</v>
      </c>
      <c r="L25" s="78">
        <f>IF(L20&gt;0,ROUND(+L23+L24,4),0)</f>
        <v>0</v>
      </c>
      <c r="M25" s="77" t="s">
        <v>332</v>
      </c>
      <c r="N25" s="64">
        <f>IF(N20&gt;0,ROUND(+N23+N24,4),0)</f>
        <v>0</v>
      </c>
      <c r="O25" s="36"/>
    </row>
    <row r="26" spans="1:15" ht="15.75" customHeight="1" thickTop="1">
      <c r="A26" s="35"/>
      <c r="B26" s="35"/>
      <c r="C26" s="65" t="s">
        <v>394</v>
      </c>
      <c r="D26"/>
      <c r="E26"/>
      <c r="F26" s="84"/>
      <c r="G26" s="84"/>
      <c r="H26" s="66"/>
      <c r="I26" s="38"/>
      <c r="J26" s="35"/>
      <c r="K26" s="67"/>
      <c r="L26" s="85"/>
      <c r="M26" s="65"/>
      <c r="N26" s="69"/>
      <c r="O26" s="36"/>
    </row>
    <row r="27" spans="1:15" ht="15.75" customHeight="1" thickBot="1">
      <c r="A27" s="35"/>
      <c r="B27" s="35"/>
      <c r="C27" s="86"/>
      <c r="D27" s="58" t="s">
        <v>392</v>
      </c>
      <c r="E27" s="58"/>
      <c r="F27" s="58"/>
      <c r="G27" s="58"/>
      <c r="H27" s="58"/>
      <c r="I27" s="59"/>
      <c r="J27" s="60"/>
      <c r="K27" s="63"/>
      <c r="L27" s="62">
        <v>1.1579999999999999</v>
      </c>
      <c r="M27" s="63"/>
      <c r="N27" s="64">
        <v>1.268</v>
      </c>
      <c r="O27" s="36"/>
    </row>
    <row r="28" spans="1:15" ht="15.75" customHeight="1" thickTop="1">
      <c r="A28" s="35"/>
      <c r="B28" s="35"/>
      <c r="C28" s="87"/>
      <c r="D28"/>
      <c r="E28"/>
      <c r="F28"/>
      <c r="G28"/>
      <c r="H28"/>
      <c r="I28" s="38"/>
      <c r="J28" s="35"/>
      <c r="K28"/>
      <c r="L28"/>
      <c r="M28"/>
      <c r="N28"/>
      <c r="O28" s="36"/>
    </row>
    <row r="29" spans="1:15" ht="15.75" customHeight="1">
      <c r="A29" s="35"/>
      <c r="B29" s="35"/>
      <c r="C29" s="87"/>
      <c r="D29"/>
      <c r="E29"/>
      <c r="F29"/>
      <c r="G29"/>
      <c r="H29"/>
      <c r="I29" s="38"/>
      <c r="J29" s="35"/>
      <c r="K29"/>
      <c r="L29"/>
      <c r="M29"/>
      <c r="N29"/>
      <c r="O29" s="36"/>
    </row>
    <row r="30" spans="1:15" ht="15.75" customHeight="1">
      <c r="A30" s="35"/>
      <c r="B30" s="35"/>
      <c r="C30" s="87"/>
      <c r="D30"/>
      <c r="E30"/>
      <c r="F30"/>
      <c r="G30"/>
      <c r="H30"/>
      <c r="I30" s="38"/>
      <c r="J30" s="35"/>
      <c r="K30"/>
      <c r="L30"/>
      <c r="M30"/>
      <c r="N30"/>
      <c r="O30" s="36"/>
    </row>
    <row r="31" spans="1:15" ht="15.75" customHeight="1">
      <c r="A31" s="35"/>
      <c r="B31" s="35"/>
      <c r="C31" s="40" t="s">
        <v>395</v>
      </c>
      <c r="D31" s="40"/>
      <c r="E31" s="40"/>
      <c r="F31" s="40"/>
      <c r="G31" s="40"/>
      <c r="H31" s="40"/>
      <c r="I31" s="88"/>
      <c r="J31" s="416"/>
      <c r="K31" s="40"/>
      <c r="L31" s="40"/>
      <c r="M31" s="40"/>
      <c r="N31" s="40"/>
      <c r="O31" s="89"/>
    </row>
    <row r="32" spans="1:15" ht="15.75" customHeight="1" thickBot="1">
      <c r="A32" s="35"/>
      <c r="B32" s="35"/>
      <c r="C32" s="45" t="s">
        <v>381</v>
      </c>
      <c r="D32" s="45"/>
      <c r="E32" s="46"/>
      <c r="F32" s="46"/>
      <c r="G32" s="46"/>
      <c r="H32" s="46"/>
      <c r="I32" s="47"/>
      <c r="J32" s="48"/>
      <c r="K32" s="49"/>
      <c r="L32" s="50" t="s">
        <v>325</v>
      </c>
      <c r="M32" s="90"/>
      <c r="N32" s="52" t="s">
        <v>326</v>
      </c>
      <c r="O32" s="36"/>
    </row>
    <row r="33" spans="1:15" ht="15.75" customHeight="1" thickTop="1">
      <c r="A33" s="35"/>
      <c r="B33" s="35"/>
      <c r="C33" s="53" t="s">
        <v>396</v>
      </c>
      <c r="D33"/>
      <c r="E33"/>
      <c r="F33" s="54"/>
      <c r="G33" s="54"/>
      <c r="H33" s="54"/>
      <c r="I33" s="38"/>
      <c r="J33" s="35"/>
      <c r="K33" s="53"/>
      <c r="L33"/>
      <c r="M33" s="53"/>
      <c r="N33" s="91"/>
      <c r="O33" s="36"/>
    </row>
    <row r="34" spans="1:15" ht="15.75" customHeight="1" thickBot="1">
      <c r="A34" s="35"/>
      <c r="B34" s="35"/>
      <c r="C34" s="57"/>
      <c r="D34" s="58" t="s">
        <v>383</v>
      </c>
      <c r="E34" s="58"/>
      <c r="F34" s="58"/>
      <c r="G34" s="58"/>
      <c r="H34" s="58"/>
      <c r="I34" s="59"/>
      <c r="J34" s="60"/>
      <c r="K34" s="63"/>
      <c r="L34" s="62">
        <v>1.399</v>
      </c>
      <c r="M34" s="63"/>
      <c r="N34" s="64">
        <v>1.5589999999999999</v>
      </c>
      <c r="O34" s="36"/>
    </row>
    <row r="35" spans="1:15" ht="15.75" customHeight="1" thickTop="1">
      <c r="A35" s="35"/>
      <c r="B35" s="35"/>
      <c r="C35" s="65" t="s">
        <v>384</v>
      </c>
      <c r="D35"/>
      <c r="E35"/>
      <c r="F35" s="66"/>
      <c r="G35" s="66"/>
      <c r="H35" s="66"/>
      <c r="I35" s="38"/>
      <c r="J35" s="35"/>
      <c r="K35" s="92"/>
      <c r="L35" s="68"/>
      <c r="M35" s="53"/>
      <c r="N35" s="69"/>
      <c r="O35" s="36"/>
    </row>
    <row r="36" spans="1:15" ht="15.75" customHeight="1">
      <c r="A36" s="35"/>
      <c r="B36" s="35"/>
      <c r="C36" s="53"/>
      <c r="D36" t="s">
        <v>385</v>
      </c>
      <c r="E36"/>
      <c r="F36"/>
      <c r="G36"/>
      <c r="H36"/>
      <c r="I36" s="38"/>
      <c r="J36" s="35"/>
      <c r="K36" s="418"/>
      <c r="L36" s="81">
        <v>500</v>
      </c>
      <c r="M36" s="420"/>
      <c r="N36" s="74">
        <v>500</v>
      </c>
      <c r="O36" s="36"/>
    </row>
    <row r="37" spans="1:15" ht="15.75" customHeight="1">
      <c r="A37" s="35"/>
      <c r="B37" s="35"/>
      <c r="C37" s="53"/>
      <c r="D37" t="s">
        <v>386</v>
      </c>
      <c r="E37"/>
      <c r="F37"/>
      <c r="G37"/>
      <c r="H37"/>
      <c r="I37" s="38"/>
      <c r="J37" s="35"/>
      <c r="K37" s="418" t="s">
        <v>387</v>
      </c>
      <c r="L37" s="73">
        <f>IF('Data Entry'!I29&gt;99.999,IF('Data Entry'!I29&lt;500,'Data Entry'!I29,0),0)</f>
        <v>0</v>
      </c>
      <c r="M37" s="418" t="s">
        <v>387</v>
      </c>
      <c r="N37" s="74">
        <f>IF('Data Entry'!L29&gt;99.999,IF('Data Entry'!L29&lt;500,'Data Entry'!L29,0),0)</f>
        <v>0</v>
      </c>
      <c r="O37" s="36"/>
    </row>
    <row r="38" spans="1:15" ht="15.75" customHeight="1">
      <c r="A38" s="35"/>
      <c r="B38" s="35"/>
      <c r="C38" s="53"/>
      <c r="D38" t="s">
        <v>388</v>
      </c>
      <c r="E38"/>
      <c r="F38"/>
      <c r="G38"/>
      <c r="H38"/>
      <c r="I38" s="38"/>
      <c r="J38" s="35"/>
      <c r="K38" s="418" t="s">
        <v>332</v>
      </c>
      <c r="L38" s="73">
        <f>IF(L37&gt;0,ROUND(+L36-L37,4),0)</f>
        <v>0</v>
      </c>
      <c r="M38" s="418" t="s">
        <v>332</v>
      </c>
      <c r="N38" s="74">
        <f>IF(N37&gt;0,ROUND(+N36-N37,4),0)</f>
        <v>0</v>
      </c>
      <c r="O38" s="36"/>
    </row>
    <row r="39" spans="1:15" ht="15.75" customHeight="1">
      <c r="A39" s="35"/>
      <c r="B39" s="35"/>
      <c r="C39" s="53"/>
      <c r="D39" t="s">
        <v>389</v>
      </c>
      <c r="E39"/>
      <c r="F39"/>
      <c r="G39"/>
      <c r="H39"/>
      <c r="I39" s="38"/>
      <c r="J39" s="35"/>
      <c r="K39" s="418" t="s">
        <v>298</v>
      </c>
      <c r="L39" s="73">
        <v>2.9999999999999997E-4</v>
      </c>
      <c r="M39" s="418" t="s">
        <v>298</v>
      </c>
      <c r="N39" s="74">
        <v>4.0000000000000002E-4</v>
      </c>
      <c r="O39" s="36"/>
    </row>
    <row r="40" spans="1:15" ht="15.75" customHeight="1">
      <c r="A40" s="35"/>
      <c r="B40" s="35"/>
      <c r="C40" s="53"/>
      <c r="D40" t="s">
        <v>390</v>
      </c>
      <c r="E40"/>
      <c r="F40"/>
      <c r="G40"/>
      <c r="H40"/>
      <c r="I40" s="38"/>
      <c r="J40" s="35"/>
      <c r="K40" s="418" t="s">
        <v>332</v>
      </c>
      <c r="L40" s="73">
        <f>IF(L37&gt;0,ROUND(L38*L39,4),0)</f>
        <v>0</v>
      </c>
      <c r="M40" s="418" t="s">
        <v>332</v>
      </c>
      <c r="N40" s="74">
        <f>IF(N37&gt;0,ROUND(N38*N39,4),0)</f>
        <v>0</v>
      </c>
      <c r="O40" s="36"/>
    </row>
    <row r="41" spans="1:15" ht="15.75" customHeight="1">
      <c r="A41" s="35"/>
      <c r="B41" s="35"/>
      <c r="C41" s="53"/>
      <c r="D41" t="s">
        <v>391</v>
      </c>
      <c r="E41"/>
      <c r="F41"/>
      <c r="G41"/>
      <c r="H41"/>
      <c r="I41" s="38"/>
      <c r="J41" s="35"/>
      <c r="K41" s="418" t="s">
        <v>329</v>
      </c>
      <c r="L41" s="73">
        <v>1.278</v>
      </c>
      <c r="M41" s="418" t="s">
        <v>329</v>
      </c>
      <c r="N41" s="74">
        <v>1.3979999999999999</v>
      </c>
      <c r="O41" s="36"/>
    </row>
    <row r="42" spans="1:15" ht="15.75" customHeight="1" thickBot="1">
      <c r="A42" s="35"/>
      <c r="B42" s="35"/>
      <c r="C42" s="57"/>
      <c r="D42" s="58" t="s">
        <v>392</v>
      </c>
      <c r="E42" s="58"/>
      <c r="F42" s="58"/>
      <c r="G42" s="58"/>
      <c r="H42" s="58"/>
      <c r="I42" s="59"/>
      <c r="J42" s="60"/>
      <c r="K42" s="83" t="s">
        <v>332</v>
      </c>
      <c r="L42" s="78">
        <f>IF(L37&gt;0,ROUND(+L40+L41,4),0)</f>
        <v>0</v>
      </c>
      <c r="M42" s="83" t="s">
        <v>332</v>
      </c>
      <c r="N42" s="64">
        <f>IF(N37&gt;0,ROUND(+N40+N41,4),0)</f>
        <v>0</v>
      </c>
      <c r="O42" s="36"/>
    </row>
    <row r="43" spans="1:15" ht="15.75" customHeight="1" thickTop="1">
      <c r="A43" s="35"/>
      <c r="B43" s="35"/>
      <c r="C43" s="65" t="s">
        <v>393</v>
      </c>
      <c r="D43"/>
      <c r="E43"/>
      <c r="F43" s="66"/>
      <c r="G43" s="66"/>
      <c r="H43" s="66"/>
      <c r="I43" s="38"/>
      <c r="J43" s="35"/>
      <c r="K43" s="67"/>
      <c r="L43" s="68"/>
      <c r="M43" s="53"/>
      <c r="N43" s="69"/>
      <c r="O43" s="36"/>
    </row>
    <row r="44" spans="1:15" ht="15.75" customHeight="1">
      <c r="A44" s="35"/>
      <c r="B44" s="35"/>
      <c r="C44" s="53"/>
      <c r="D44" t="s">
        <v>385</v>
      </c>
      <c r="E44"/>
      <c r="F44"/>
      <c r="G44"/>
      <c r="H44"/>
      <c r="I44" s="38"/>
      <c r="J44" s="35"/>
      <c r="K44" s="418"/>
      <c r="L44" s="81">
        <v>600</v>
      </c>
      <c r="M44" s="420"/>
      <c r="N44" s="74">
        <v>600</v>
      </c>
      <c r="O44" s="36"/>
    </row>
    <row r="45" spans="1:15" ht="15.75" customHeight="1">
      <c r="A45" s="35"/>
      <c r="B45" s="35"/>
      <c r="C45" s="53"/>
      <c r="D45" t="s">
        <v>386</v>
      </c>
      <c r="E45"/>
      <c r="F45"/>
      <c r="G45"/>
      <c r="H45"/>
      <c r="I45" s="38"/>
      <c r="J45" s="35"/>
      <c r="K45" s="418" t="s">
        <v>387</v>
      </c>
      <c r="L45" s="73">
        <f>IF('Data Entry'!I29&gt;499.999,IF('Data Entry'!I29&lt;600,'Data Entry'!I29,0),0)</f>
        <v>0</v>
      </c>
      <c r="M45" s="418" t="s">
        <v>387</v>
      </c>
      <c r="N45" s="74">
        <f>IF('Data Entry'!L29&gt;499.999,IF('Data Entry'!L29&lt;600,'Data Entry'!L29,0),0)</f>
        <v>0</v>
      </c>
      <c r="O45" s="36"/>
    </row>
    <row r="46" spans="1:15" ht="15.75" customHeight="1">
      <c r="A46" s="35"/>
      <c r="B46" s="35"/>
      <c r="C46" s="53"/>
      <c r="D46" t="s">
        <v>388</v>
      </c>
      <c r="E46"/>
      <c r="F46"/>
      <c r="G46"/>
      <c r="H46"/>
      <c r="I46" s="38"/>
      <c r="J46" s="35"/>
      <c r="K46" s="418" t="s">
        <v>332</v>
      </c>
      <c r="L46" s="73">
        <f>IF(L45&gt;0,ROUND(+L44-L45,4),0)</f>
        <v>0</v>
      </c>
      <c r="M46" s="418" t="s">
        <v>332</v>
      </c>
      <c r="N46" s="74">
        <f>IF(N45&gt;0,ROUND(+N44-N45,4),0)</f>
        <v>0</v>
      </c>
      <c r="O46" s="36"/>
    </row>
    <row r="47" spans="1:15" ht="15.75" customHeight="1">
      <c r="A47" s="35"/>
      <c r="B47" s="35"/>
      <c r="C47" s="53"/>
      <c r="D47" t="s">
        <v>389</v>
      </c>
      <c r="E47"/>
      <c r="F47"/>
      <c r="G47"/>
      <c r="H47"/>
      <c r="I47" s="38"/>
      <c r="J47" s="35"/>
      <c r="K47" s="418" t="s">
        <v>298</v>
      </c>
      <c r="L47" s="73">
        <v>1.1999999999999999E-3</v>
      </c>
      <c r="M47" s="418" t="s">
        <v>298</v>
      </c>
      <c r="N47" s="74">
        <v>1.2999999999999999E-3</v>
      </c>
      <c r="O47" s="36"/>
    </row>
    <row r="48" spans="1:15" ht="15.75" customHeight="1">
      <c r="A48" s="35"/>
      <c r="B48" s="35"/>
      <c r="C48" s="53"/>
      <c r="D48" t="s">
        <v>390</v>
      </c>
      <c r="E48"/>
      <c r="F48"/>
      <c r="G48"/>
      <c r="H48"/>
      <c r="I48" s="38"/>
      <c r="J48" s="35"/>
      <c r="K48" s="418" t="s">
        <v>332</v>
      </c>
      <c r="L48" s="73">
        <f>IF(L45&gt;0,ROUND(L46*L47,4),0)</f>
        <v>0</v>
      </c>
      <c r="M48" s="418" t="s">
        <v>332</v>
      </c>
      <c r="N48" s="74">
        <f>IF(N45&gt;0,ROUND(N46*N47,4),0)</f>
        <v>0</v>
      </c>
      <c r="O48" s="36"/>
    </row>
    <row r="49" spans="1:31" ht="15.75" customHeight="1">
      <c r="A49" s="35"/>
      <c r="B49" s="35"/>
      <c r="C49" s="53"/>
      <c r="D49" t="s">
        <v>391</v>
      </c>
      <c r="E49"/>
      <c r="F49"/>
      <c r="G49"/>
      <c r="H49"/>
      <c r="I49" s="38"/>
      <c r="J49" s="35"/>
      <c r="K49" s="418" t="s">
        <v>329</v>
      </c>
      <c r="L49" s="73">
        <v>1.1579999999999999</v>
      </c>
      <c r="M49" s="418" t="s">
        <v>329</v>
      </c>
      <c r="N49" s="74">
        <v>1.268</v>
      </c>
      <c r="O49" s="36"/>
    </row>
    <row r="50" spans="1:31" ht="15.75" customHeight="1" thickBot="1">
      <c r="A50" s="35"/>
      <c r="B50" s="35"/>
      <c r="C50" s="57"/>
      <c r="D50" s="58" t="s">
        <v>392</v>
      </c>
      <c r="E50" s="58"/>
      <c r="F50" s="58"/>
      <c r="G50" s="58"/>
      <c r="H50" s="58"/>
      <c r="I50" s="59"/>
      <c r="J50" s="60"/>
      <c r="K50" s="83" t="s">
        <v>332</v>
      </c>
      <c r="L50" s="78">
        <f>IF(L45&gt;0,ROUND(+L48+L49,4),0)</f>
        <v>0</v>
      </c>
      <c r="M50" s="83" t="s">
        <v>332</v>
      </c>
      <c r="N50" s="64">
        <f>IF(N45&gt;0,ROUND(+N48+N49,4),0)</f>
        <v>0</v>
      </c>
      <c r="O50" s="36"/>
    </row>
    <row r="51" spans="1:31" ht="15.75" customHeight="1" thickTop="1">
      <c r="A51" s="35"/>
      <c r="B51" s="35"/>
      <c r="C51" s="65" t="s">
        <v>394</v>
      </c>
      <c r="D51"/>
      <c r="E51"/>
      <c r="F51" s="84"/>
      <c r="G51" s="84"/>
      <c r="H51" s="66"/>
      <c r="I51" s="38"/>
      <c r="J51" s="35"/>
      <c r="K51" s="67"/>
      <c r="L51" s="80"/>
      <c r="M51" s="53"/>
      <c r="N51" s="69"/>
      <c r="O51" s="36"/>
    </row>
    <row r="52" spans="1:31" ht="15.75" customHeight="1" thickBot="1">
      <c r="A52" s="35"/>
      <c r="B52" s="35"/>
      <c r="C52" s="86"/>
      <c r="D52" s="58" t="s">
        <v>392</v>
      </c>
      <c r="E52" s="58"/>
      <c r="F52" s="58"/>
      <c r="G52" s="58"/>
      <c r="H52" s="58"/>
      <c r="I52" s="59"/>
      <c r="J52" s="60"/>
      <c r="K52" s="63"/>
      <c r="L52" s="62">
        <v>1.1579999999999999</v>
      </c>
      <c r="M52" s="93"/>
      <c r="N52" s="64">
        <v>1.268</v>
      </c>
      <c r="O52" s="36"/>
    </row>
    <row r="53" spans="1:31" ht="15.75" customHeight="1" thickTop="1">
      <c r="A53" s="35"/>
      <c r="B53" s="35"/>
      <c r="C53" s="35"/>
      <c r="D53" s="35"/>
      <c r="E53" s="38"/>
      <c r="F53" s="38"/>
      <c r="G53" s="38"/>
      <c r="H53" s="35"/>
      <c r="I53" s="38"/>
      <c r="J53" s="35"/>
      <c r="K53" s="35"/>
      <c r="L53" s="36"/>
      <c r="M53" s="36"/>
      <c r="N53" s="35"/>
      <c r="O53" s="36"/>
    </row>
    <row r="54" spans="1:31" ht="15.75" customHeight="1">
      <c r="A54" s="35"/>
      <c r="B54" s="35"/>
      <c r="C54" s="35"/>
      <c r="D54" s="35"/>
      <c r="E54" s="38"/>
      <c r="F54" s="38"/>
      <c r="G54" s="38"/>
      <c r="H54" s="35"/>
      <c r="I54" s="38"/>
      <c r="J54" s="35"/>
      <c r="K54" s="35"/>
      <c r="L54" s="36"/>
      <c r="M54" s="36"/>
      <c r="N54" s="35"/>
      <c r="O54" s="36"/>
    </row>
    <row r="55" spans="1:31" ht="15.75" customHeight="1">
      <c r="A55" s="35"/>
      <c r="B55" s="35"/>
      <c r="C55" s="35"/>
      <c r="D55" s="35"/>
      <c r="E55" s="38"/>
      <c r="F55" s="38"/>
      <c r="G55" s="38"/>
      <c r="H55" s="35"/>
      <c r="I55" s="38"/>
      <c r="J55" s="35"/>
      <c r="K55" s="35"/>
      <c r="L55" s="36"/>
      <c r="M55" s="36"/>
      <c r="N55" s="35"/>
      <c r="O55" s="36"/>
    </row>
    <row r="56" spans="1:31" ht="15.75" customHeight="1">
      <c r="A56" s="35"/>
      <c r="B56" s="94" t="s">
        <v>397</v>
      </c>
      <c r="C56" s="94"/>
      <c r="D56"/>
      <c r="E56"/>
      <c r="F56"/>
      <c r="G56" s="38"/>
      <c r="H56" s="35"/>
      <c r="I56" s="38"/>
      <c r="J56" s="35"/>
      <c r="K56" s="35"/>
      <c r="L56" s="36"/>
      <c r="M56" s="36"/>
      <c r="N56" s="35"/>
      <c r="O56" s="36"/>
    </row>
    <row r="57" spans="1:31" ht="15.75" customHeight="1">
      <c r="A57" s="35"/>
      <c r="B57" s="407">
        <v>1</v>
      </c>
      <c r="C57" t="s">
        <v>398</v>
      </c>
      <c r="D57"/>
      <c r="E57"/>
      <c r="F57"/>
      <c r="G57" s="38"/>
      <c r="H57" s="35"/>
      <c r="I57" s="38"/>
      <c r="J57" s="35"/>
      <c r="K57" s="35"/>
      <c r="L57" s="95">
        <f>IF('Data Entry'!I20&gt;0,IF('Data Entry'!I20&lt;100,L9,IF('Data Entry'!I20&lt;500,L17,IF('Data Entry'!I20&lt;600,L25,L27))),0)</f>
        <v>1.34</v>
      </c>
      <c r="M57" s="36"/>
      <c r="N57" s="70">
        <f>IF('Data Entry'!L20&gt;0,IF('Data Entry'!L20&lt;100,N9,IF('Data Entry'!L20&lt;500,N17,IF('Data Entry'!L20&lt;600,N25,N27))),0)</f>
        <v>1.5448</v>
      </c>
      <c r="O57" s="36"/>
    </row>
    <row r="58" spans="1:31" ht="15.75" customHeight="1">
      <c r="A58" s="35"/>
      <c r="B58" s="407">
        <v>2</v>
      </c>
      <c r="C58" t="s">
        <v>399</v>
      </c>
      <c r="D58"/>
      <c r="E58"/>
      <c r="F58"/>
      <c r="G58" s="38"/>
      <c r="H58" s="35"/>
      <c r="I58" s="38"/>
      <c r="J58" s="35"/>
      <c r="K58" s="35"/>
      <c r="L58" s="70">
        <f>IF(AND('Data Entry'!I29=0,'Data Entry'!$A$6="X"),1.158,IF('Data Entry'!I29&gt;0,IF('Data Entry'!I29&lt;100,L34,IF('Data Entry'!I29&lt;500,L42,IF('Data Entry'!I29&lt;600,L50,L52))),0))</f>
        <v>0</v>
      </c>
      <c r="M58" s="36"/>
      <c r="N58" s="70">
        <f>IF(AND('Data Entry'!L29=0,'Data Entry'!$A$6="X"),1.268,IF('Data Entry'!L29&gt;0,IF('Data Entry'!L29&lt;100,N34,IF('Data Entry'!L29&lt;500,N42,IF('Data Entry'!L29&lt;600,N50,N52))),0))</f>
        <v>0</v>
      </c>
      <c r="O58" s="36"/>
    </row>
    <row r="59" spans="1:31" ht="15.75" customHeight="1">
      <c r="A59" s="35"/>
      <c r="B59" s="407">
        <v>3</v>
      </c>
      <c r="C59" s="96" t="s">
        <v>400</v>
      </c>
      <c r="D59" s="97"/>
      <c r="E59" s="97"/>
      <c r="F59" s="97"/>
      <c r="G59" s="98"/>
      <c r="H59" s="99"/>
      <c r="I59" s="98"/>
      <c r="J59" s="99"/>
      <c r="K59" s="99"/>
      <c r="L59" s="70">
        <f>IF(StudCntK8CY=0,0,IF(OR('Data Entry'!B8="X",'Data Entry'!B9="X",'Data Entry'!B10="X",'Data Entry'!B11="X"),Calculations!L58,Calculations!L57))</f>
        <v>1.34</v>
      </c>
      <c r="M59" s="100"/>
      <c r="N59" s="70">
        <f>IF(StudCnt912CY=0,0,IF(OR('Data Entry'!B8="X",'Data Entry'!B9="X",'Data Entry'!B10="X",'Data Entry'!B11="X"),Calculations!N58,Calculations!N57))</f>
        <v>1.5448</v>
      </c>
      <c r="O59" s="36"/>
    </row>
    <row r="61" spans="1:31" ht="12.75">
      <c r="A61" s="94"/>
      <c r="C61" s="94"/>
      <c r="D61" s="94"/>
      <c r="E61" s="94"/>
      <c r="F61" s="94"/>
    </row>
    <row r="62" spans="1:31" ht="12.75">
      <c r="A62" s="94"/>
      <c r="B62" s="101" t="s">
        <v>401</v>
      </c>
      <c r="C62" s="94"/>
      <c r="D62" s="94"/>
      <c r="E62" s="94"/>
      <c r="F62" s="94"/>
      <c r="T62" s="494"/>
      <c r="U62" s="494"/>
      <c r="V62" s="494"/>
      <c r="W62" s="494"/>
      <c r="X62" s="494"/>
      <c r="Y62" s="494"/>
      <c r="Z62" s="494"/>
      <c r="AA62" s="494"/>
      <c r="AB62" s="494"/>
      <c r="AC62" s="494"/>
      <c r="AD62" s="494"/>
      <c r="AE62" s="494"/>
    </row>
    <row r="63" spans="1:31" ht="12.75" customHeight="1">
      <c r="B63" s="632" t="s">
        <v>402</v>
      </c>
      <c r="C63" s="632"/>
      <c r="D63" s="632"/>
      <c r="E63" s="632"/>
      <c r="F63" s="632"/>
      <c r="G63" s="632"/>
      <c r="H63" s="632"/>
      <c r="I63" s="632"/>
      <c r="J63" s="632"/>
      <c r="K63" s="632"/>
      <c r="L63" s="632"/>
      <c r="M63" s="632"/>
      <c r="N63" s="632"/>
      <c r="O63" s="632"/>
      <c r="P63" s="102"/>
    </row>
    <row r="64" spans="1:31" ht="12.75" customHeight="1">
      <c r="B64" s="632"/>
      <c r="C64" s="632"/>
      <c r="D64" s="632"/>
      <c r="E64" s="632"/>
      <c r="F64" s="632"/>
      <c r="G64" s="632"/>
      <c r="H64" s="632"/>
      <c r="I64" s="632"/>
      <c r="J64" s="632"/>
      <c r="K64" s="632"/>
      <c r="L64" s="632"/>
      <c r="M64" s="632"/>
      <c r="N64" s="632"/>
      <c r="O64" s="632"/>
      <c r="P64" s="102"/>
    </row>
    <row r="65" spans="1:26" ht="12.75" customHeight="1">
      <c r="B65" s="632"/>
      <c r="C65" s="632"/>
      <c r="D65" s="632"/>
      <c r="E65" s="632"/>
      <c r="F65" s="632"/>
      <c r="G65" s="632"/>
      <c r="H65" s="632"/>
      <c r="I65" s="632"/>
      <c r="J65" s="632"/>
      <c r="K65" s="632"/>
      <c r="L65" s="632"/>
      <c r="M65" s="632"/>
      <c r="N65" s="632"/>
      <c r="O65" s="632"/>
      <c r="P65" s="102"/>
    </row>
    <row r="66" spans="1:26" ht="12.75" customHeight="1">
      <c r="B66" s="632"/>
      <c r="C66" s="632"/>
      <c r="D66" s="632"/>
      <c r="E66" s="632"/>
      <c r="F66" s="632"/>
      <c r="G66" s="632"/>
      <c r="H66" s="632"/>
      <c r="I66" s="632"/>
      <c r="J66" s="632"/>
      <c r="K66" s="632"/>
      <c r="L66" s="632"/>
      <c r="M66" s="632"/>
      <c r="N66" s="632"/>
      <c r="O66" s="632"/>
      <c r="P66" s="102"/>
    </row>
    <row r="67" spans="1:26" ht="12.75" customHeight="1">
      <c r="B67" s="632"/>
      <c r="C67" s="632"/>
      <c r="D67" s="632"/>
      <c r="E67" s="632"/>
      <c r="F67" s="632"/>
      <c r="G67" s="632"/>
      <c r="H67" s="632"/>
      <c r="I67" s="632"/>
      <c r="J67" s="632"/>
      <c r="K67" s="632"/>
      <c r="L67" s="632"/>
      <c r="M67" s="632"/>
      <c r="N67" s="632"/>
      <c r="O67" s="632"/>
      <c r="P67" s="102"/>
    </row>
    <row r="68" spans="1:26" ht="18" customHeight="1">
      <c r="B68" s="632"/>
      <c r="C68" s="632"/>
      <c r="D68" s="632"/>
      <c r="E68" s="632"/>
      <c r="F68" s="632"/>
      <c r="G68" s="632"/>
      <c r="H68" s="632"/>
      <c r="I68" s="632"/>
      <c r="J68" s="632"/>
      <c r="K68" s="632"/>
      <c r="L68" s="632"/>
      <c r="M68" s="632"/>
      <c r="N68" s="632"/>
      <c r="O68" s="632"/>
      <c r="P68" s="102"/>
    </row>
    <row r="69" spans="1:26" ht="12.75" customHeight="1">
      <c r="B69" s="103"/>
      <c r="C69" s="103"/>
      <c r="D69" s="103"/>
      <c r="E69" s="103"/>
      <c r="F69" s="103"/>
      <c r="G69" s="103"/>
      <c r="H69" s="103"/>
      <c r="I69" s="103"/>
      <c r="J69" s="103"/>
      <c r="K69" s="103"/>
      <c r="L69" s="103"/>
      <c r="M69" s="103"/>
      <c r="N69" s="103"/>
      <c r="O69" s="103"/>
      <c r="P69" s="102"/>
    </row>
    <row r="70" spans="1:26" ht="12.75">
      <c r="B70" s="492" t="s">
        <v>403</v>
      </c>
      <c r="C70" s="492"/>
      <c r="D70" s="492"/>
      <c r="E70" s="492"/>
      <c r="F70" s="492"/>
      <c r="G70" s="492"/>
      <c r="H70"/>
      <c r="M70" s="405"/>
      <c r="N70" s="104"/>
      <c r="V70" s="105"/>
      <c r="W70" s="105"/>
      <c r="X70" s="105"/>
      <c r="Y70" s="105"/>
      <c r="Z70" s="105"/>
    </row>
    <row r="71" spans="1:26" ht="12.75" customHeight="1">
      <c r="B71"/>
      <c r="C71"/>
      <c r="D71"/>
      <c r="E71" s="405"/>
      <c r="F71" s="106" t="s">
        <v>341</v>
      </c>
      <c r="G71" s="411" t="s">
        <v>340</v>
      </c>
      <c r="H71" s="107"/>
      <c r="M71" s="405"/>
      <c r="N71" s="104"/>
      <c r="R71" s="405"/>
    </row>
    <row r="72" spans="1:26" ht="12.75">
      <c r="B72" t="s">
        <v>404</v>
      </c>
      <c r="C72"/>
      <c r="D72"/>
      <c r="E72" s="108"/>
      <c r="F72" s="109">
        <f>'Data Entry'!I39*0.06</f>
        <v>5.97</v>
      </c>
      <c r="G72" s="110">
        <f>'Data Entry'!I38*0.04</f>
        <v>3.98</v>
      </c>
      <c r="H72" s="111"/>
      <c r="N72" s="112"/>
      <c r="R72" s="108"/>
    </row>
    <row r="73" spans="1:26" ht="12.75" customHeight="1">
      <c r="B73" t="s">
        <v>405</v>
      </c>
      <c r="C73"/>
      <c r="D73"/>
      <c r="E73" s="108"/>
      <c r="F73" s="109">
        <f>'Data Entry'!J39*0.06*0.95</f>
        <v>0</v>
      </c>
      <c r="G73" s="110">
        <f>'Data Entry'!J38*0.04*0.95</f>
        <v>0</v>
      </c>
      <c r="H73" s="111"/>
      <c r="M73" s="405"/>
      <c r="N73" s="104"/>
      <c r="Q73"/>
      <c r="R73" s="108"/>
    </row>
    <row r="74" spans="1:26" ht="12.75" customHeight="1">
      <c r="B74" t="s">
        <v>406</v>
      </c>
      <c r="C74" s="113"/>
      <c r="D74" s="113"/>
      <c r="E74" s="108"/>
      <c r="F74" s="109">
        <f>'Data Entry'!K39*0.06*0.85</f>
        <v>0</v>
      </c>
      <c r="G74" s="110">
        <f>'Data Entry'!K38*0.04*0.85</f>
        <v>0</v>
      </c>
      <c r="H74" s="111"/>
      <c r="I74"/>
      <c r="L74" t="s">
        <v>341</v>
      </c>
      <c r="M74" s="114" t="s">
        <v>8</v>
      </c>
      <c r="N74" s="115">
        <f>'BSA55'!H50*F75</f>
        <v>29927.61</v>
      </c>
      <c r="Q74" s="405"/>
      <c r="R74" s="108"/>
    </row>
    <row r="75" spans="1:26" ht="12.75">
      <c r="B75" t="s">
        <v>277</v>
      </c>
      <c r="C75" s="113"/>
      <c r="D75" s="113"/>
      <c r="E75" s="108"/>
      <c r="F75" s="109">
        <f>SUM(F72:F74)</f>
        <v>5.97</v>
      </c>
      <c r="G75" s="110">
        <f>SUM(G72:G74)</f>
        <v>3.98</v>
      </c>
      <c r="H75" s="111"/>
      <c r="I75"/>
      <c r="L75" t="s">
        <v>340</v>
      </c>
      <c r="M75" s="114" t="s">
        <v>8</v>
      </c>
      <c r="N75" s="116">
        <f>'BSA55'!H50*G75</f>
        <v>19951.740000000002</v>
      </c>
      <c r="P75"/>
      <c r="Q75" s="108"/>
      <c r="R75" s="108"/>
    </row>
    <row r="76" spans="1:26" ht="12.75" customHeight="1">
      <c r="B76" s="113"/>
      <c r="C76" s="113"/>
      <c r="D76" s="113"/>
      <c r="E76"/>
      <c r="F76" s="113"/>
      <c r="G76" s="113"/>
      <c r="H76" s="113"/>
      <c r="I76"/>
      <c r="M76" s="405"/>
      <c r="N76" s="104"/>
      <c r="P76"/>
      <c r="Q76" s="108"/>
    </row>
    <row r="77" spans="1:26" ht="12.75" customHeight="1">
      <c r="A77" s="117"/>
      <c r="B77" s="631" t="s">
        <v>407</v>
      </c>
      <c r="C77" s="631"/>
      <c r="D77" s="631"/>
      <c r="E77" s="631"/>
      <c r="F77" s="631"/>
      <c r="G77" s="631"/>
      <c r="H77" s="113"/>
      <c r="I77"/>
      <c r="M77" s="405"/>
      <c r="N77" s="104"/>
      <c r="P77"/>
      <c r="Q77" s="108"/>
    </row>
    <row r="78" spans="1:26" ht="12.75">
      <c r="A78" s="118"/>
      <c r="B78" s="631"/>
      <c r="C78" s="631"/>
      <c r="D78" s="631"/>
      <c r="E78" s="631"/>
      <c r="F78" s="631"/>
      <c r="G78" s="631"/>
      <c r="H78"/>
      <c r="I78"/>
      <c r="M78" s="405"/>
      <c r="N78" s="104"/>
      <c r="P78"/>
      <c r="Q78" s="108"/>
    </row>
    <row r="79" spans="1:26" ht="12.75" customHeight="1">
      <c r="A79" s="118"/>
      <c r="B79" s="118"/>
      <c r="C79" s="118"/>
      <c r="M79" s="119"/>
      <c r="N79" s="120"/>
      <c r="P79" s="539"/>
      <c r="Q79" s="539"/>
      <c r="R79" s="539"/>
    </row>
    <row r="80" spans="1:26" ht="12.75" customHeight="1">
      <c r="A80" s="118"/>
      <c r="B80" s="118"/>
      <c r="C80" s="118"/>
      <c r="D80"/>
      <c r="F80" s="407"/>
      <c r="G80"/>
      <c r="H80"/>
      <c r="I80"/>
      <c r="L80"/>
      <c r="M80" s="405"/>
      <c r="N80" s="121"/>
      <c r="P80" s="539"/>
      <c r="Q80" s="539"/>
      <c r="R80" s="539"/>
    </row>
    <row r="81" spans="1:25" ht="12.75">
      <c r="A81" s="118"/>
      <c r="B81" s="118"/>
      <c r="C81" s="118"/>
      <c r="L81"/>
      <c r="M81" s="405"/>
      <c r="N81" s="121"/>
      <c r="P81" s="415"/>
      <c r="Q81" s="415"/>
      <c r="R81" s="415"/>
    </row>
    <row r="82" spans="1:25" ht="12.75">
      <c r="A82" s="118"/>
      <c r="B82" s="118"/>
      <c r="C82" s="118"/>
      <c r="L82"/>
      <c r="M82" s="405"/>
      <c r="N82" s="120"/>
      <c r="P82" s="415"/>
      <c r="Q82" s="415"/>
      <c r="R82" s="415"/>
    </row>
    <row r="83" spans="1:25" ht="12.75">
      <c r="A83" s="94" t="s">
        <v>376</v>
      </c>
      <c r="B83" s="94"/>
      <c r="C83" s="94"/>
      <c r="D83" s="94"/>
      <c r="E83" s="94"/>
      <c r="F83" s="94"/>
      <c r="G83" s="94"/>
      <c r="H83" s="94"/>
      <c r="I83" s="94"/>
      <c r="J83" s="94"/>
      <c r="K83" s="94"/>
      <c r="L83" s="94"/>
      <c r="N83" s="104"/>
      <c r="W83" s="122"/>
    </row>
    <row r="84" spans="1:25" ht="12.75" customHeight="1">
      <c r="A84" s="635" t="s">
        <v>408</v>
      </c>
      <c r="B84" s="635"/>
      <c r="C84" s="635"/>
      <c r="D84" s="635"/>
      <c r="E84" s="635"/>
      <c r="F84" s="635"/>
      <c r="G84" s="635"/>
      <c r="H84" s="635"/>
      <c r="I84" s="635"/>
      <c r="J84" s="635"/>
      <c r="K84" s="635"/>
      <c r="L84" s="635"/>
      <c r="M84" s="635"/>
      <c r="N84" s="635"/>
      <c r="O84" s="635"/>
      <c r="W84" s="122"/>
    </row>
    <row r="85" spans="1:25" ht="12.75" customHeight="1">
      <c r="A85" s="635"/>
      <c r="B85" s="635"/>
      <c r="C85" s="635"/>
      <c r="D85" s="635"/>
      <c r="E85" s="635"/>
      <c r="F85" s="635"/>
      <c r="G85" s="635"/>
      <c r="H85" s="635"/>
      <c r="I85" s="635"/>
      <c r="J85" s="635"/>
      <c r="K85" s="635"/>
      <c r="L85" s="635"/>
      <c r="M85" s="635"/>
      <c r="N85" s="635"/>
      <c r="O85" s="635"/>
      <c r="W85" s="122"/>
    </row>
    <row r="86" spans="1:25" ht="12.75" customHeight="1">
      <c r="A86" s="635"/>
      <c r="B86" s="635"/>
      <c r="C86" s="635"/>
      <c r="D86" s="635"/>
      <c r="E86" s="635"/>
      <c r="F86" s="635"/>
      <c r="G86" s="635"/>
      <c r="H86" s="635"/>
      <c r="I86" s="635"/>
      <c r="J86" s="635"/>
      <c r="K86" s="635"/>
      <c r="L86" s="635"/>
      <c r="M86" s="635"/>
      <c r="N86" s="635"/>
      <c r="O86" s="635"/>
      <c r="W86" s="122"/>
    </row>
    <row r="87" spans="1:25" ht="12.75" customHeight="1">
      <c r="A87" s="635"/>
      <c r="B87" s="635"/>
      <c r="C87" s="635"/>
      <c r="D87" s="635"/>
      <c r="E87" s="635"/>
      <c r="F87" s="635"/>
      <c r="G87" s="635"/>
      <c r="H87" s="635"/>
      <c r="I87" s="635"/>
      <c r="J87" s="635"/>
      <c r="K87" s="635"/>
      <c r="L87" s="635"/>
      <c r="M87" s="635"/>
      <c r="N87" s="635"/>
      <c r="O87" s="635"/>
      <c r="W87" s="122"/>
    </row>
    <row r="88" spans="1:25" ht="12.75">
      <c r="A88" s="1"/>
      <c r="B88" s="1"/>
      <c r="C88" s="1"/>
      <c r="D88" s="1"/>
      <c r="E88" s="1"/>
      <c r="F88" s="1"/>
      <c r="G88" s="1"/>
      <c r="H88" s="1"/>
      <c r="I88" s="1"/>
      <c r="J88" s="1"/>
      <c r="K88" s="1"/>
      <c r="L88" s="1"/>
      <c r="N88" s="104"/>
      <c r="W88" s="122"/>
    </row>
    <row r="89" spans="1:25" ht="12.75">
      <c r="B89" s="123">
        <v>1</v>
      </c>
      <c r="C89" t="s">
        <v>409</v>
      </c>
      <c r="D89"/>
      <c r="E89"/>
      <c r="F89"/>
      <c r="M89" s="114" t="s">
        <v>8</v>
      </c>
      <c r="N89" s="115">
        <f>75000000*'Data Entry'!N82</f>
        <v>30750</v>
      </c>
      <c r="T89" s="119"/>
      <c r="X89" s="633"/>
      <c r="Y89" s="633"/>
    </row>
    <row r="90" spans="1:25" ht="12.75">
      <c r="B90" s="407"/>
      <c r="C90"/>
      <c r="D90"/>
      <c r="E90"/>
      <c r="F90"/>
      <c r="N90" s="104"/>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scale="85" fitToHeight="0"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20" workbookViewId="0">
      <selection activeCell="A4" sqref="A4:J4"/>
    </sheetView>
  </sheetViews>
  <sheetFormatPr defaultColWidth="9" defaultRowHeight="12.75"/>
  <cols>
    <col min="1" max="1" width="43.5703125" style="124" bestFit="1" customWidth="1"/>
    <col min="2" max="2" width="22.42578125" style="124" bestFit="1" customWidth="1"/>
    <col min="3" max="3" width="22.42578125" style="124" customWidth="1"/>
    <col min="4" max="4" width="22.42578125" style="124" bestFit="1" customWidth="1"/>
    <col min="5" max="5" width="22.42578125" style="124" customWidth="1"/>
    <col min="6" max="6" width="17.42578125" style="124" customWidth="1"/>
    <col min="7" max="7" width="22.42578125" style="124" customWidth="1"/>
    <col min="8" max="8" width="17.5703125" style="124" bestFit="1" customWidth="1"/>
    <col min="9" max="9" width="14.42578125" style="124" customWidth="1"/>
    <col min="10" max="10" width="14.5703125" style="124" customWidth="1"/>
    <col min="11" max="14" width="9" style="124" customWidth="1"/>
    <col min="15" max="16384" width="9" style="124"/>
  </cols>
  <sheetData>
    <row r="1" spans="1:10">
      <c r="A1" s="35" t="s">
        <v>0</v>
      </c>
      <c r="B1" s="535" t="str">
        <f>CharterName</f>
        <v>Tucson International Academy</v>
      </c>
      <c r="C1" s="535"/>
      <c r="D1" s="35" t="s">
        <v>1</v>
      </c>
      <c r="E1" s="636" t="str">
        <f>Cover!M1</f>
        <v>Pima</v>
      </c>
      <c r="F1" s="535"/>
      <c r="G1" s="535"/>
      <c r="H1" s="35" t="s">
        <v>2</v>
      </c>
      <c r="I1" s="536" t="str">
        <f>CTD</f>
        <v>108714000</v>
      </c>
      <c r="J1" s="536"/>
    </row>
    <row r="2" spans="1:10">
      <c r="A2" s="35"/>
      <c r="B2" s="159"/>
      <c r="C2" s="405"/>
      <c r="D2" s="35"/>
      <c r="E2" s="159"/>
      <c r="F2" s="405"/>
      <c r="G2" s="405"/>
      <c r="H2"/>
      <c r="I2" s="35"/>
      <c r="J2" s="405"/>
    </row>
    <row r="3" spans="1:10">
      <c r="A3" s="637" t="str">
        <f>IF(CharterName&lt;&gt;0,CharterName,"")</f>
        <v>Tucson International Academy</v>
      </c>
      <c r="B3" s="637"/>
      <c r="C3" s="637"/>
      <c r="D3" s="637"/>
      <c r="E3" s="637"/>
      <c r="F3" s="637"/>
      <c r="G3" s="637"/>
      <c r="H3" s="637"/>
      <c r="I3" s="637"/>
      <c r="J3" s="637"/>
    </row>
    <row r="4" spans="1:10">
      <c r="A4" s="494" t="s">
        <v>410</v>
      </c>
      <c r="B4" s="494"/>
      <c r="C4" s="494"/>
      <c r="D4" s="494"/>
      <c r="E4" s="494"/>
      <c r="F4" s="494"/>
      <c r="G4" s="494"/>
      <c r="H4" s="494"/>
      <c r="I4" s="494"/>
      <c r="J4" s="494"/>
    </row>
    <row r="5" spans="1:10">
      <c r="A5" s="494" t="s">
        <v>5</v>
      </c>
      <c r="B5" s="494"/>
      <c r="C5" s="494"/>
      <c r="D5" s="494"/>
      <c r="E5" s="494"/>
      <c r="F5" s="494"/>
      <c r="G5" s="494"/>
      <c r="H5" s="494"/>
      <c r="I5" s="494"/>
      <c r="J5" s="494"/>
    </row>
    <row r="6" spans="1:10" s="125" customFormat="1" ht="13.5" thickBot="1">
      <c r="A6" s="160"/>
      <c r="B6" s="160"/>
      <c r="C6" s="160"/>
      <c r="D6" s="160"/>
      <c r="E6" s="160"/>
      <c r="F6" s="160"/>
      <c r="G6" s="160"/>
      <c r="H6" s="160"/>
      <c r="I6" s="160"/>
      <c r="J6" s="161" t="s">
        <v>411</v>
      </c>
    </row>
    <row r="7" spans="1:10" ht="51">
      <c r="A7" s="406" t="s">
        <v>412</v>
      </c>
      <c r="B7" s="162" t="s">
        <v>413</v>
      </c>
      <c r="C7" s="162" t="s">
        <v>414</v>
      </c>
      <c r="D7" s="162" t="s">
        <v>415</v>
      </c>
      <c r="E7" s="162" t="s">
        <v>416</v>
      </c>
      <c r="F7" s="162" t="s">
        <v>417</v>
      </c>
      <c r="G7" s="162" t="s">
        <v>418</v>
      </c>
      <c r="H7" s="162" t="s">
        <v>419</v>
      </c>
      <c r="I7"/>
      <c r="J7"/>
    </row>
    <row r="8" spans="1:10">
      <c r="A8" s="127" t="s">
        <v>324</v>
      </c>
      <c r="B8" s="163">
        <f>NonAOIStudCntPSDCY</f>
        <v>0</v>
      </c>
      <c r="C8" s="163">
        <v>0</v>
      </c>
      <c r="D8" s="163">
        <v>0</v>
      </c>
      <c r="E8" s="163">
        <f>IF(AND(B8=0,C8=0,D8=0),0,1.45)</f>
        <v>0</v>
      </c>
      <c r="F8" s="163">
        <f>B8*E8</f>
        <v>0</v>
      </c>
      <c r="G8" s="163">
        <f>E8*C8</f>
        <v>0</v>
      </c>
      <c r="H8" s="163">
        <f>E8*D8</f>
        <v>0</v>
      </c>
      <c r="I8"/>
      <c r="J8"/>
    </row>
    <row r="9" spans="1:10">
      <c r="A9" s="127" t="s">
        <v>420</v>
      </c>
      <c r="B9" s="163">
        <f>NonAOIStudCntK8CY</f>
        <v>293.5</v>
      </c>
      <c r="C9" s="163">
        <f>AOIFTStudCntK8CY</f>
        <v>0</v>
      </c>
      <c r="D9" s="163">
        <f>AOIPTStudCntK8CY</f>
        <v>0</v>
      </c>
      <c r="E9" s="163">
        <f>IF(AND(B9=0,C9=0,D9=0),0,IF(OR('Data Entry'!B8="X",'Data Entry'!B9="X",'Data Entry'!B10="X",'Data Entry'!B11="X"),Calculations!L58,Calculations!L57))</f>
        <v>1.34</v>
      </c>
      <c r="F9" s="163">
        <f>B9*E9</f>
        <v>393.29</v>
      </c>
      <c r="G9" s="163">
        <f>E9*C9</f>
        <v>0</v>
      </c>
      <c r="H9" s="163">
        <f>E9*D9</f>
        <v>0</v>
      </c>
      <c r="I9"/>
      <c r="J9"/>
    </row>
    <row r="10" spans="1:10">
      <c r="A10" s="127" t="s">
        <v>326</v>
      </c>
      <c r="B10" s="163">
        <f>NonAOIStudCnt912CY</f>
        <v>133</v>
      </c>
      <c r="C10" s="163">
        <f>AOIFTStudCnt912CY</f>
        <v>0</v>
      </c>
      <c r="D10" s="163">
        <f>AOIPTStudCnt912CY</f>
        <v>0</v>
      </c>
      <c r="E10" s="163">
        <f>IF(AND(B10=0,C10=0,D10=0),0,IF(OR('Data Entry'!B8="X",'Data Entry'!B9="X",'Data Entry'!B10="X",'Data Entry'!B11="X"),Calculations!N58,Calculations!N57))</f>
        <v>1.5448</v>
      </c>
      <c r="F10" s="163">
        <f>B10*E10</f>
        <v>205.45840000000001</v>
      </c>
      <c r="G10" s="163">
        <f>E10*C10</f>
        <v>0</v>
      </c>
      <c r="H10" s="163">
        <f>E10*D10</f>
        <v>0</v>
      </c>
      <c r="I10"/>
      <c r="J10"/>
    </row>
    <row r="11" spans="1:10">
      <c r="A11" s="164" t="s">
        <v>421</v>
      </c>
      <c r="B11" s="165">
        <f>SUM(B8:B10)</f>
        <v>426.5</v>
      </c>
      <c r="C11" s="166">
        <f>SUM(C8:C10)</f>
        <v>0</v>
      </c>
      <c r="D11" s="166">
        <f>SUM(D8:D10)</f>
        <v>0</v>
      </c>
      <c r="E11" s="167"/>
      <c r="F11" s="167"/>
      <c r="G11" s="167"/>
      <c r="H11" s="167"/>
      <c r="I11"/>
      <c r="J11"/>
    </row>
    <row r="12" spans="1:10" ht="12.75" customHeight="1">
      <c r="A12" s="168" t="s">
        <v>422</v>
      </c>
      <c r="B12" s="169"/>
      <c r="C12" s="167"/>
      <c r="D12" s="166">
        <f>SUM(B11:D11)</f>
        <v>426.5</v>
      </c>
      <c r="E12" s="167"/>
      <c r="F12" s="167"/>
      <c r="G12" s="167"/>
      <c r="H12" s="167"/>
      <c r="I12"/>
      <c r="J12"/>
    </row>
    <row r="13" spans="1:10" ht="12.75" customHeight="1">
      <c r="A13" s="94" t="s">
        <v>423</v>
      </c>
      <c r="B13" s="170"/>
      <c r="C13" s="167"/>
      <c r="D13" s="167"/>
      <c r="E13" s="167"/>
      <c r="F13" s="166">
        <f>((B8*E8)+(B9*E9)+(B10*E10))</f>
        <v>598.74839999999995</v>
      </c>
      <c r="G13" s="166">
        <f>((C8*E8)+(C9*E9)+(C10*E10))</f>
        <v>0</v>
      </c>
      <c r="H13" s="166">
        <f>((D8*E8)+(D9*E9)+(D10*E10))</f>
        <v>0</v>
      </c>
      <c r="I13"/>
      <c r="J13"/>
    </row>
    <row r="14" spans="1:10" ht="12.75" customHeight="1" thickBot="1">
      <c r="A14" s="171" t="s">
        <v>424</v>
      </c>
      <c r="B14" s="172"/>
      <c r="C14" s="172"/>
      <c r="D14" s="172"/>
      <c r="E14" s="172"/>
      <c r="F14" s="173"/>
      <c r="G14" s="173"/>
      <c r="H14" s="174">
        <f>((B8*E8)+(B9*E9)+(B10*E10))+((C8*E8)+(C9*E9)+(C10*E10))+((D8*E8)+(D9*E9)+(D10*E10))</f>
        <v>598.74839999999995</v>
      </c>
      <c r="I14" s="160"/>
      <c r="J14" s="160"/>
    </row>
    <row r="15" spans="1:10" ht="39" customHeight="1">
      <c r="A15" s="175" t="s">
        <v>425</v>
      </c>
      <c r="B15" s="176" t="s">
        <v>413</v>
      </c>
      <c r="C15" s="176" t="s">
        <v>414</v>
      </c>
      <c r="D15" s="176" t="s">
        <v>415</v>
      </c>
      <c r="E15" s="176" t="s">
        <v>416</v>
      </c>
      <c r="F15" s="176" t="s">
        <v>417</v>
      </c>
      <c r="G15" s="176" t="s">
        <v>418</v>
      </c>
      <c r="H15" s="176" t="s">
        <v>419</v>
      </c>
      <c r="I15"/>
      <c r="J15"/>
    </row>
    <row r="16" spans="1:10">
      <c r="A16" s="405" t="s">
        <v>426</v>
      </c>
      <c r="B16" s="163">
        <f>NonAOIStudCntELL</f>
        <v>70</v>
      </c>
      <c r="C16" s="163">
        <f>AOIFTStudCntELL</f>
        <v>0</v>
      </c>
      <c r="D16" s="163">
        <f>AOIPTStudCntELL</f>
        <v>0</v>
      </c>
      <c r="E16" s="163">
        <v>0.115</v>
      </c>
      <c r="F16" s="163">
        <f>E16*NonAOIStudCntELL</f>
        <v>8.0500000000000007</v>
      </c>
      <c r="G16" s="163">
        <f>E16*AOIFTStudCntELL</f>
        <v>0</v>
      </c>
      <c r="H16" s="163">
        <f>E16*AOIPTStudCntELL</f>
        <v>0</v>
      </c>
      <c r="I16"/>
      <c r="J16"/>
    </row>
    <row r="17" spans="1:10">
      <c r="A17" s="405" t="s">
        <v>341</v>
      </c>
      <c r="B17" s="163">
        <f>NonAOIStudCntK3</f>
        <v>99.5</v>
      </c>
      <c r="C17" s="163">
        <f>AOIFTStudCntK3</f>
        <v>0</v>
      </c>
      <c r="D17" s="163">
        <f>AOIPTStudCntK3</f>
        <v>0</v>
      </c>
      <c r="E17" s="163">
        <v>0.06</v>
      </c>
      <c r="F17" s="163">
        <f>E17*NonAOIStudCntK3</f>
        <v>5.97</v>
      </c>
      <c r="G17" s="163">
        <f>E17*AOIFTStudCntK3</f>
        <v>0</v>
      </c>
      <c r="H17" s="163">
        <f>E17*AOIPTStudCntK3</f>
        <v>0</v>
      </c>
      <c r="I17"/>
      <c r="J17"/>
    </row>
    <row r="18" spans="1:10" ht="12.75" customHeight="1">
      <c r="A18" s="405" t="s">
        <v>427</v>
      </c>
      <c r="B18" s="163">
        <f>NonAOIStudCntK3Read</f>
        <v>99.5</v>
      </c>
      <c r="C18" s="163">
        <f>AOIFTStudCntK3Read</f>
        <v>0</v>
      </c>
      <c r="D18" s="163">
        <f>AOIPTStudCntK3Read</f>
        <v>0</v>
      </c>
      <c r="E18" s="163">
        <v>0.04</v>
      </c>
      <c r="F18" s="163">
        <f>E18*NonAOIStudCntK3Read</f>
        <v>3.98</v>
      </c>
      <c r="G18" s="163">
        <f>E18*AOIFTStudCntK3Read</f>
        <v>0</v>
      </c>
      <c r="H18" s="163">
        <f>E18*AOIPTStudCntK3Read</f>
        <v>0</v>
      </c>
      <c r="I18"/>
      <c r="J18"/>
    </row>
    <row r="19" spans="1:10" ht="11.25" customHeight="1">
      <c r="A19" s="405" t="s">
        <v>428</v>
      </c>
      <c r="B19" s="163">
        <f>NonAOIStudCntHI</f>
        <v>0</v>
      </c>
      <c r="C19" s="163">
        <f>AOIFTStudCntHI</f>
        <v>0</v>
      </c>
      <c r="D19" s="163">
        <f>AOIPTStudCntHI</f>
        <v>0</v>
      </c>
      <c r="E19" s="163">
        <v>4.7709999999999999</v>
      </c>
      <c r="F19" s="163">
        <f>E19*NonAOIStudCntHI</f>
        <v>0</v>
      </c>
      <c r="G19" s="163">
        <f>E19*AOIFTStudCntHI</f>
        <v>0</v>
      </c>
      <c r="H19" s="163">
        <f>E19*AOIPTStudCntHI</f>
        <v>0</v>
      </c>
      <c r="I19"/>
      <c r="J19"/>
    </row>
    <row r="20" spans="1:10">
      <c r="A20" s="177" t="s">
        <v>429</v>
      </c>
      <c r="B20" s="163">
        <f>NonAOIStudCntMDR.AR.SIDR</f>
        <v>0</v>
      </c>
      <c r="C20" s="163">
        <f>AOIFTStudCntMDR.AR.SIDR</f>
        <v>0</v>
      </c>
      <c r="D20" s="163">
        <f>AOIPTStudCntMDR.AR.SIDR</f>
        <v>0</v>
      </c>
      <c r="E20" s="163">
        <v>6.024</v>
      </c>
      <c r="F20" s="163">
        <f>E20*NonAOIStudCntMDR.AR.SIDR</f>
        <v>0</v>
      </c>
      <c r="G20" s="163">
        <f>E20*AOIFTStudCntMDR.AR.SIDR</f>
        <v>0</v>
      </c>
      <c r="H20" s="163">
        <f>E20*AOIPTStudCntMDR.AR.SIDR</f>
        <v>0</v>
      </c>
      <c r="I20"/>
      <c r="J20"/>
    </row>
    <row r="21" spans="1:10" ht="12.75" customHeight="1">
      <c r="A21" s="177" t="s">
        <v>430</v>
      </c>
      <c r="B21" s="163">
        <f>NonAOIStudCntMDSC.ASC.SIDSC</f>
        <v>0</v>
      </c>
      <c r="C21" s="163">
        <f>AOIFTStudCntMDSC.ASC.SIDSC</f>
        <v>0</v>
      </c>
      <c r="D21" s="163">
        <f>AOIPTStudCntMDSC.ASC.SIDSC</f>
        <v>0</v>
      </c>
      <c r="E21" s="163">
        <v>5.9880000000000004</v>
      </c>
      <c r="F21" s="163">
        <f>E21*NonAOIStudCntMDSC.ASC.SIDSC</f>
        <v>0</v>
      </c>
      <c r="G21" s="163">
        <f>E21*AOIFTStudCntMDSC.ASC.SIDSC</f>
        <v>0</v>
      </c>
      <c r="H21" s="163">
        <f>E21*AOIPTStudCntMDSC.ASC.SIDSC</f>
        <v>0</v>
      </c>
      <c r="I21"/>
      <c r="J21"/>
    </row>
    <row r="22" spans="1:10">
      <c r="A22" s="177" t="s">
        <v>431</v>
      </c>
      <c r="B22" s="163">
        <f>NonAOIStudCntMDSSI</f>
        <v>0</v>
      </c>
      <c r="C22" s="163">
        <f>AOIFTStudCntMDSSI</f>
        <v>0</v>
      </c>
      <c r="D22" s="163">
        <f>AOIPTStudCntMDSSI</f>
        <v>0</v>
      </c>
      <c r="E22" s="163">
        <v>7.9470000000000001</v>
      </c>
      <c r="F22" s="163">
        <f>E22*NonAOIStudCntMDSSI</f>
        <v>0</v>
      </c>
      <c r="G22" s="163">
        <f>E22*AOIFTStudCntMDSSI</f>
        <v>0</v>
      </c>
      <c r="H22" s="163">
        <f>E22*AOIPTStudCntMDSSI</f>
        <v>0</v>
      </c>
      <c r="I22"/>
      <c r="J22"/>
    </row>
    <row r="23" spans="1:10">
      <c r="A23" s="177" t="s">
        <v>432</v>
      </c>
      <c r="B23" s="163">
        <f>NonAOIStudCntOIR</f>
        <v>0</v>
      </c>
      <c r="C23" s="163">
        <f>AOIFTStudCntOIR</f>
        <v>0</v>
      </c>
      <c r="D23" s="163">
        <f>AOIPTStudCntOIR</f>
        <v>0</v>
      </c>
      <c r="E23" s="163">
        <v>3.1579999999999999</v>
      </c>
      <c r="F23" s="163">
        <f>E23*NonAOIStudCntOIR</f>
        <v>0</v>
      </c>
      <c r="G23" s="163">
        <f>E23*AOIFTStudCntOIR</f>
        <v>0</v>
      </c>
      <c r="H23" s="163">
        <f>E23*AOIPTStudCntOIR</f>
        <v>0</v>
      </c>
      <c r="I23"/>
      <c r="J23"/>
    </row>
    <row r="24" spans="1:10">
      <c r="A24" s="177" t="s">
        <v>433</v>
      </c>
      <c r="B24" s="163">
        <f>NonAOIStudCntOISC</f>
        <v>1</v>
      </c>
      <c r="C24" s="163">
        <f>AOIFTStudCntOISC</f>
        <v>0</v>
      </c>
      <c r="D24" s="163">
        <f>AOIPTStudCntOISC</f>
        <v>0</v>
      </c>
      <c r="E24" s="163">
        <v>6.7729999999999997</v>
      </c>
      <c r="F24" s="163">
        <f>E24*NonAOIStudCntOISC</f>
        <v>6.7729999999999997</v>
      </c>
      <c r="G24" s="163">
        <f>E24*AOIFTStudCntOISC</f>
        <v>0</v>
      </c>
      <c r="H24" s="163">
        <f>E24*AOIPTStudCntOISC</f>
        <v>0</v>
      </c>
      <c r="I24"/>
      <c r="J24"/>
    </row>
    <row r="25" spans="1:10">
      <c r="A25" s="177" t="s">
        <v>434</v>
      </c>
      <c r="B25" s="163">
        <f>NonAOIStudCntP.SD</f>
        <v>0</v>
      </c>
      <c r="C25" s="163">
        <f>AOIFTStudCntP.SD</f>
        <v>0</v>
      </c>
      <c r="D25" s="163">
        <f>AOIPTStudCntP.SD</f>
        <v>0</v>
      </c>
      <c r="E25" s="163">
        <v>3.5950000000000002</v>
      </c>
      <c r="F25" s="163">
        <f>E25*NonAOIStudCntP.SD</f>
        <v>0</v>
      </c>
      <c r="G25" s="163">
        <f>E25*AOIFTStudCntP.SD</f>
        <v>0</v>
      </c>
      <c r="H25" s="163">
        <f>E25*AOIPTStudCntP.SD</f>
        <v>0</v>
      </c>
      <c r="I25"/>
      <c r="J25"/>
    </row>
    <row r="26" spans="1:10">
      <c r="A26" s="177" t="s">
        <v>435</v>
      </c>
      <c r="B26" s="163">
        <f>NonAOIStudCntDD.ED.MIID.SLD.SLI.OHI</f>
        <v>49</v>
      </c>
      <c r="C26" s="163">
        <f>AOIFTStudCntDD.ED.MIID.SLD.SLI.OHI</f>
        <v>0</v>
      </c>
      <c r="D26" s="163">
        <f>AOIPTStudCntDD.ED.MIID.SLD.SLI.OHI</f>
        <v>0</v>
      </c>
      <c r="E26" s="163">
        <v>0.29199999999999998</v>
      </c>
      <c r="F26" s="163">
        <f>E26*NonAOIStudCntDD.ED.MIID.SLD.SLI.OHI</f>
        <v>14.308</v>
      </c>
      <c r="G26" s="163">
        <f>E26*AOIFTStudCntDD.ED.MIID.SLD.SLI.OHI</f>
        <v>0</v>
      </c>
      <c r="H26" s="163">
        <f>E26*AOIPTStudCntDD.ED.MIID.SLD.SLI.OHI</f>
        <v>0</v>
      </c>
      <c r="I26"/>
      <c r="J26"/>
    </row>
    <row r="27" spans="1:10">
      <c r="A27" s="177" t="s">
        <v>436</v>
      </c>
      <c r="B27" s="163">
        <f>NonAOIStudCntEDP</f>
        <v>1</v>
      </c>
      <c r="C27" s="163">
        <f>AOIFTStudCntEDP</f>
        <v>0</v>
      </c>
      <c r="D27" s="163">
        <f>AOIPTStudCntEDP</f>
        <v>0</v>
      </c>
      <c r="E27" s="163">
        <v>4.8220000000000001</v>
      </c>
      <c r="F27" s="163">
        <f>E27*NonAOIStudCntEDP</f>
        <v>4.8220000000000001</v>
      </c>
      <c r="G27" s="163">
        <f>E27*AOIFTStudCntEDP</f>
        <v>0</v>
      </c>
      <c r="H27" s="163">
        <f>E27*AOIPTStudCntEDP</f>
        <v>0</v>
      </c>
      <c r="I27"/>
      <c r="J27"/>
    </row>
    <row r="28" spans="1:10">
      <c r="A28" s="177" t="s">
        <v>437</v>
      </c>
      <c r="B28" s="163">
        <f>NonAOIStudCntMOID</f>
        <v>0</v>
      </c>
      <c r="C28" s="163">
        <f>AOIFTStudCntMOID</f>
        <v>0</v>
      </c>
      <c r="D28" s="163">
        <f>AOIPTStudCntMOID</f>
        <v>0</v>
      </c>
      <c r="E28" s="163">
        <v>4.4210000000000003</v>
      </c>
      <c r="F28" s="163">
        <f>E28*NonAOIStudCntMOID</f>
        <v>0</v>
      </c>
      <c r="G28" s="163">
        <f>E28*AOIFTStudCntMOID</f>
        <v>0</v>
      </c>
      <c r="H28" s="163">
        <f>E28*AOIPTStudCntMOID</f>
        <v>0</v>
      </c>
      <c r="I28"/>
      <c r="J28"/>
    </row>
    <row r="29" spans="1:10">
      <c r="A29" s="177" t="s">
        <v>438</v>
      </c>
      <c r="B29" s="163">
        <f>NonAOIStudCntVI</f>
        <v>0</v>
      </c>
      <c r="C29" s="163">
        <f>AOIFTStudCntVI</f>
        <v>0</v>
      </c>
      <c r="D29" s="163">
        <f>AOIPTStudCntVI</f>
        <v>0</v>
      </c>
      <c r="E29" s="163">
        <v>4.806</v>
      </c>
      <c r="F29" s="163">
        <f>E29*NonAOIStudCntVI</f>
        <v>0</v>
      </c>
      <c r="G29" s="163">
        <f>E29*AOIFTStudCntVI</f>
        <v>0</v>
      </c>
      <c r="H29" s="163">
        <f>E29*AOIPTStudCntVI</f>
        <v>0</v>
      </c>
      <c r="I29"/>
      <c r="J29"/>
    </row>
    <row r="30" spans="1:10">
      <c r="A30" s="177" t="s">
        <v>439</v>
      </c>
      <c r="B30" s="163">
        <f>NonAOIStudCntG</f>
        <v>0</v>
      </c>
      <c r="C30" s="163">
        <f>AOIFTStudCntG</f>
        <v>0</v>
      </c>
      <c r="D30" s="163">
        <f>AOIPTStudCntG</f>
        <v>0</v>
      </c>
      <c r="E30" s="163">
        <v>7.0000000000000001E-3</v>
      </c>
      <c r="F30" s="163">
        <f>E30*NonAOIStudCntG</f>
        <v>0</v>
      </c>
      <c r="G30" s="163">
        <f>E30*AOIFTStudCntG</f>
        <v>0</v>
      </c>
      <c r="H30" s="163">
        <f>E30*AOIPTStudCntG</f>
        <v>0</v>
      </c>
      <c r="I30"/>
      <c r="J30"/>
    </row>
    <row r="31" spans="1:10">
      <c r="A31" s="127" t="s">
        <v>440</v>
      </c>
      <c r="B31" s="163">
        <f>NonAOIStudCntFRPL</f>
        <v>397</v>
      </c>
      <c r="C31" s="163">
        <f>AOIFTStudCntFRPL</f>
        <v>0</v>
      </c>
      <c r="D31" s="163">
        <f>AOIPTStudCntFRPL</f>
        <v>0</v>
      </c>
      <c r="E31" s="396">
        <v>2.1999999999999999E-2</v>
      </c>
      <c r="F31" s="163">
        <f>E31*NonAOIStudCntFRPL</f>
        <v>8.734</v>
      </c>
      <c r="G31" s="163">
        <f>E31*AOIFTStudCntFRPL</f>
        <v>0</v>
      </c>
      <c r="H31" s="163">
        <f>E31*AOIPTStudCntFRPL</f>
        <v>0</v>
      </c>
      <c r="I31"/>
      <c r="J31"/>
    </row>
    <row r="32" spans="1:10">
      <c r="A32" s="178" t="s">
        <v>441</v>
      </c>
      <c r="B32" s="179">
        <f>SUM(B16:B31)</f>
        <v>717</v>
      </c>
      <c r="C32" s="166">
        <f>SUM(C16:C31)</f>
        <v>0</v>
      </c>
      <c r="D32" s="166">
        <f>SUM(D16:D31)</f>
        <v>0</v>
      </c>
      <c r="E32" s="166"/>
      <c r="F32" s="166"/>
      <c r="G32" s="166"/>
      <c r="H32" s="166"/>
      <c r="I32"/>
      <c r="J32"/>
    </row>
    <row r="33" spans="1:10">
      <c r="A33" s="180" t="s">
        <v>442</v>
      </c>
      <c r="B33" s="179"/>
      <c r="C33" s="166"/>
      <c r="D33" s="166">
        <f>SUM(B32:D32)</f>
        <v>717</v>
      </c>
      <c r="E33" s="166"/>
      <c r="F33" s="166"/>
      <c r="G33" s="166"/>
      <c r="H33" s="166"/>
      <c r="I33"/>
      <c r="J33"/>
    </row>
    <row r="34" spans="1:10" ht="12.75" customHeight="1">
      <c r="A34" s="180" t="s">
        <v>443</v>
      </c>
      <c r="B34" s="179"/>
      <c r="C34" s="166"/>
      <c r="D34" s="166"/>
      <c r="E34" s="166"/>
      <c r="F34" s="166">
        <f>((B16*E16)+(B17*E17)+(B18*E18)+(B19*E19)+(B20*E20)+(B21*E21)+(B22*E22)+(B23*E23)+(B24*E24)+(B25*E25)+(B26*E26)+(B27*E27)+(B28*E28)+(B29*E29)+(B30*E30)+(B31*E31))</f>
        <v>52.637</v>
      </c>
      <c r="G34" s="166">
        <f>((C16*E16)+(C17*E17)+(C18*E18)+(C19*E19)+(C20*E20)+(C21*E21)+(C22*E22)+(C23*E23)+(C24*E24)+(C25*E25)+(C26*E26)+(C27*E27)+(C28*E28)+(C29*E29)+(C30*E30)+(C31*E31))</f>
        <v>0</v>
      </c>
      <c r="H34" s="166">
        <f>((D16*E16)+(D17*E17)+(D18*E18)+(D19*E19)+(D20*E20)+(D21*E21)+(D22*E22)+(D23*E23)+(D24*E24)+(D25*E25)+(D26*E26)+(D27*E27)+(D28*E28)+(D29*E29)+(D30*E30)+(D31*E31))</f>
        <v>0</v>
      </c>
      <c r="I34" s="125"/>
      <c r="J34" s="125"/>
    </row>
    <row r="35" spans="1:10" s="125" customFormat="1">
      <c r="A35" s="180" t="s">
        <v>444</v>
      </c>
      <c r="B35" s="179"/>
      <c r="C35" s="181"/>
      <c r="D35" s="181"/>
      <c r="E35" s="181"/>
      <c r="F35" s="181"/>
      <c r="G35" s="181"/>
      <c r="H35" s="181">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52.637</v>
      </c>
      <c r="I35" s="182"/>
    </row>
    <row r="36" spans="1:10">
      <c r="A36" s="494" t="str">
        <f>A3</f>
        <v>Tucson International Academy</v>
      </c>
      <c r="B36" s="494"/>
      <c r="C36" s="494"/>
      <c r="D36" s="494"/>
      <c r="E36" s="494"/>
      <c r="F36" s="494"/>
      <c r="G36" s="494"/>
      <c r="H36" s="494"/>
      <c r="I36" s="494"/>
      <c r="J36" s="494"/>
    </row>
    <row r="37" spans="1:10">
      <c r="A37" s="494" t="s">
        <v>410</v>
      </c>
      <c r="B37" s="494"/>
      <c r="C37" s="494"/>
      <c r="D37" s="494"/>
      <c r="E37" s="494"/>
      <c r="F37" s="494"/>
      <c r="G37" s="494"/>
      <c r="H37" s="494"/>
      <c r="I37" s="494"/>
      <c r="J37" s="494"/>
    </row>
    <row r="38" spans="1:10">
      <c r="A38" s="494" t="s">
        <v>5</v>
      </c>
      <c r="B38" s="494"/>
      <c r="C38" s="494"/>
      <c r="D38" s="494"/>
      <c r="E38" s="494"/>
      <c r="F38" s="494"/>
      <c r="G38" s="494"/>
      <c r="H38" s="494"/>
      <c r="I38" s="494"/>
      <c r="J38" s="494"/>
    </row>
    <row r="39" spans="1:10" s="125" customFormat="1" ht="13.5" thickBot="1">
      <c r="A39" s="160"/>
      <c r="B39" s="160"/>
      <c r="C39" s="160"/>
      <c r="D39" s="160"/>
      <c r="E39" s="160"/>
      <c r="F39" s="160"/>
      <c r="G39" s="160"/>
      <c r="H39" s="160"/>
      <c r="I39" s="160"/>
      <c r="J39" s="161" t="s">
        <v>445</v>
      </c>
    </row>
    <row r="40" spans="1:10">
      <c r="A40"/>
      <c r="B40"/>
      <c r="C40"/>
      <c r="D40"/>
      <c r="E40"/>
      <c r="F40"/>
      <c r="G40"/>
      <c r="H40"/>
      <c r="I40"/>
      <c r="J40"/>
    </row>
    <row r="41" spans="1:10">
      <c r="A41" s="180" t="s">
        <v>446</v>
      </c>
      <c r="B41"/>
      <c r="C41"/>
      <c r="D41"/>
      <c r="E41"/>
      <c r="F41"/>
      <c r="G41"/>
      <c r="H41"/>
      <c r="I41"/>
      <c r="J41"/>
    </row>
    <row r="42" spans="1:10" ht="38.25">
      <c r="A42" s="183"/>
      <c r="B42"/>
      <c r="C42" s="162" t="s">
        <v>447</v>
      </c>
      <c r="D42"/>
      <c r="E42" s="162" t="s">
        <v>448</v>
      </c>
      <c r="F42"/>
      <c r="G42" s="162" t="s">
        <v>449</v>
      </c>
      <c r="H42"/>
      <c r="I42"/>
      <c r="J42"/>
    </row>
    <row r="43" spans="1:10" ht="13.5" customHeight="1">
      <c r="A43" s="113" t="s">
        <v>423</v>
      </c>
      <c r="B43"/>
      <c r="C43" s="184">
        <f>((B8*E8)+(B9*E9)+(B10*E10))</f>
        <v>598.74839999999995</v>
      </c>
      <c r="D43"/>
      <c r="E43" s="184">
        <f>((C8*E8)+(C9*E9)+(C10*E10))</f>
        <v>0</v>
      </c>
      <c r="F43" s="167"/>
      <c r="G43" s="184">
        <f>((D8*E8)+(D9*E9)+(D10*E10))</f>
        <v>0</v>
      </c>
      <c r="H43" s="167"/>
      <c r="I43"/>
      <c r="J43"/>
    </row>
    <row r="44" spans="1:10">
      <c r="A44" s="113" t="s">
        <v>443</v>
      </c>
      <c r="B44" s="425" t="s">
        <v>329</v>
      </c>
      <c r="C44" s="184">
        <f>((B16*E16)+(B17*E17)+(B18*E18)+(B19*E19)+(B20*E20)+(B21*E21)+(B22*E22)+(B23*E23)+(B24*E24)+(B25*E25)+(B26*E26)+(B27*E27)+(B28*E28)+(B29*E29)+(B30*E30)+(B31*E31))</f>
        <v>52.637</v>
      </c>
      <c r="D44" s="425" t="s">
        <v>329</v>
      </c>
      <c r="E44" s="184">
        <f>((C16*E16)+(C17*E17)+(C18*E18)+(C19*E19)+(C20*E20)+(C21*E21)+(C22*E22)+(C23*E23)+(C24*E24)+(C25*E25)+(C26*E26)+(C27*E27)+(C28*E28)+(C29*E29)+(C30*E30)+(C31*E31))</f>
        <v>0</v>
      </c>
      <c r="F44" s="185" t="s">
        <v>329</v>
      </c>
      <c r="G44" s="184">
        <f>((D16*E16)+(D17*E17)+(D18*E18)+(D19*E19)+(D20*E20)+(D21*E21)+(D22*E22)+(D23*E23)+(D24*E24)+(D25*E25)+(D26*E26)+(D27*E27)+(D28*E28)+(D29*E29)+(D30*E30)+(D31*E31))</f>
        <v>0</v>
      </c>
      <c r="H44" s="167"/>
      <c r="I44"/>
      <c r="J44"/>
    </row>
    <row r="45" spans="1:10">
      <c r="A45" s="113" t="s">
        <v>450</v>
      </c>
      <c r="B45" s="425" t="s">
        <v>332</v>
      </c>
      <c r="C45" s="184">
        <f>((B8*E8)+(B9*E9)+(B10*E10))+((B16*E16)+(B17*E17)+(B18*E18)+(B19*E19)+(B20*E20)+(B21*E21)+(B22*E22)+(B23*E23)+(B24*E24)+(B25*E25)+(B26*E26)+(B27*E27)+(B28*E28)+(B29*E29)+(B30*E30)+(B31*E31))</f>
        <v>651.3854</v>
      </c>
      <c r="D45" s="425" t="s">
        <v>332</v>
      </c>
      <c r="E45" s="184">
        <f>((C8*E8)+(C9*E9)+(C10*E10))+((C16*E16)+(C17*E17)+(C18*E18)+(C19*E19)+(C20*E20)+(C21*E21)+(C22*E22)+(C23*E23)+(C24*E24)+(C25*E25)+(C26*E26)+(C27*E27)+(C28*E28)+(C29*E29)+(C30*E30)+(C31*E31))</f>
        <v>0</v>
      </c>
      <c r="F45" s="185" t="s">
        <v>332</v>
      </c>
      <c r="G45" s="184">
        <f>((D8*E8)+(D9*E9)+(D10*E10))+((D16*E16)+(D17*E17)+(D18*E18)+(D19*E19)+(D20*E20)+(D21*E21)+(D22*E22)+(D23*E23)+(D24*E24)+(D25*E25)+(D26*E26)+(D27*E27)+(D28*E28)+(D29*E29)+(D30*E30)+(D31*E31))</f>
        <v>0</v>
      </c>
      <c r="H45" s="167"/>
      <c r="I45"/>
      <c r="J45"/>
    </row>
    <row r="46" spans="1:10">
      <c r="A46" s="113" t="s">
        <v>451</v>
      </c>
      <c r="B46" s="425" t="s">
        <v>298</v>
      </c>
      <c r="C46" s="184">
        <v>1</v>
      </c>
      <c r="D46" s="425" t="s">
        <v>298</v>
      </c>
      <c r="E46" s="184">
        <v>0.95</v>
      </c>
      <c r="F46" s="185" t="s">
        <v>298</v>
      </c>
      <c r="G46" s="184">
        <v>0.85</v>
      </c>
      <c r="H46" s="167"/>
      <c r="I46"/>
      <c r="J46"/>
    </row>
    <row r="47" spans="1:10">
      <c r="A47" s="113" t="s">
        <v>452</v>
      </c>
      <c r="B47" s="425" t="s">
        <v>332</v>
      </c>
      <c r="C47" s="184">
        <f>(((B8*E8)+(B9*E9)+(B10*E10))+((B16*E16)+(B17*E17)+(B18*E18)+(B19*E19)+(B20*E20)+(B21*E21)+(B22*E22)+(B23*E23)+(B24*E24)+(B25*E25)+(B26*E26)+(B27*E27)+(B28*E28)+(B29*E29)+(B30*E30)+(B31*E31))*C46)</f>
        <v>651.3854</v>
      </c>
      <c r="D47" s="425" t="s">
        <v>332</v>
      </c>
      <c r="E47" s="184">
        <f>(((C8*E8)+(C9*E9)+(C10*E10))+((C16*E16)+(C17*E17)+(C18*E18)+(C19*E19)+(C20*E20)+(C21*E21)+(C22*E22)+(C23*E23)+(C24*E24)+(C25*E25)+(C26*E26)+(C27*E27)+(C28*E28)+(C29*E29)+(C30*E30)+(C31*E31)))*E46</f>
        <v>0</v>
      </c>
      <c r="F47" s="185" t="s">
        <v>332</v>
      </c>
      <c r="G47" s="184">
        <f>((((D8*E8)+(D9*E9)+(D10*E10))+((D16*E16)+(D17*E17)+(D18*E18)+(D19*E19)+(D20*E20)+(D21*E21)+(D22*E22)+(D23*E23)+(D24*E24)+(D25*E25)+(D26*E26)+(D27*E27)+(D28*E28)+(D29*E29)+(D30*E30)+(D31*E31)))*G46)</f>
        <v>0</v>
      </c>
      <c r="H47" s="167"/>
      <c r="I47"/>
      <c r="J47"/>
    </row>
    <row r="48" spans="1:10">
      <c r="A48"/>
      <c r="B48"/>
      <c r="C48" s="167"/>
      <c r="D48"/>
      <c r="E48" s="167"/>
      <c r="F48" s="167"/>
      <c r="G48" s="167"/>
      <c r="H48" s="167"/>
      <c r="I48"/>
      <c r="J48"/>
    </row>
    <row r="49" spans="1:10">
      <c r="A49" s="186" t="s">
        <v>453</v>
      </c>
      <c r="B49"/>
      <c r="C49" s="167"/>
      <c r="D49" s="187"/>
      <c r="E49" s="167"/>
      <c r="F49" s="167"/>
      <c r="G49" s="167"/>
      <c r="H49" s="188">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651.3854</v>
      </c>
      <c r="I49"/>
      <c r="J49"/>
    </row>
    <row r="50" spans="1:10">
      <c r="A50" s="403" t="s">
        <v>454</v>
      </c>
      <c r="B50" s="401"/>
      <c r="C50" s="469"/>
      <c r="D50" s="401"/>
      <c r="E50" s="401"/>
      <c r="F50" s="401"/>
      <c r="G50" s="401"/>
      <c r="H50" s="472">
        <v>5013</v>
      </c>
      <c r="I50"/>
      <c r="J50"/>
    </row>
    <row r="51" spans="1:10">
      <c r="A51" s="180" t="s">
        <v>455</v>
      </c>
      <c r="B51"/>
      <c r="C51" s="184">
        <f>H49</f>
        <v>651.3854</v>
      </c>
      <c r="D51" s="425" t="s">
        <v>298</v>
      </c>
      <c r="E51" s="189">
        <f>H50</f>
        <v>5013</v>
      </c>
      <c r="F51"/>
      <c r="G51"/>
      <c r="H51" s="190">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3265395.01</v>
      </c>
      <c r="I51"/>
      <c r="J51"/>
    </row>
    <row r="52" spans="1:10">
      <c r="A52" s="180"/>
      <c r="B52"/>
      <c r="C52" s="80"/>
      <c r="D52" s="425"/>
      <c r="E52" s="104"/>
      <c r="F52"/>
      <c r="G52"/>
      <c r="H52" s="191"/>
      <c r="I52"/>
      <c r="J52"/>
    </row>
    <row r="53" spans="1:10">
      <c r="A53" s="148" t="s">
        <v>456</v>
      </c>
      <c r="B53"/>
      <c r="C53"/>
      <c r="D53"/>
      <c r="E53"/>
      <c r="F53"/>
      <c r="G53"/>
      <c r="H53" s="94"/>
      <c r="I53"/>
      <c r="J53"/>
    </row>
    <row r="54" spans="1:10">
      <c r="A54" s="148" t="s">
        <v>457</v>
      </c>
      <c r="B54"/>
      <c r="C54"/>
      <c r="D54"/>
      <c r="E54"/>
      <c r="F54"/>
      <c r="G54"/>
      <c r="H54" s="190">
        <f>ROUND(NonFedAuditExp,0)</f>
        <v>23000</v>
      </c>
      <c r="I54"/>
      <c r="J54"/>
    </row>
    <row r="55" spans="1:10">
      <c r="A55" s="148" t="s">
        <v>458</v>
      </c>
      <c r="B55"/>
      <c r="C55"/>
      <c r="D55"/>
      <c r="E55"/>
      <c r="F55"/>
      <c r="G55"/>
      <c r="H55" s="190">
        <f>ROUND(RemoteTimeAdjustment,0)</f>
        <v>0</v>
      </c>
      <c r="I55"/>
      <c r="J55"/>
    </row>
    <row r="56" spans="1:10">
      <c r="A56" s="471" t="s">
        <v>558</v>
      </c>
      <c r="B56" s="401"/>
      <c r="C56" s="401"/>
      <c r="D56" s="401"/>
      <c r="E56" s="401"/>
      <c r="F56" s="401"/>
      <c r="G56" s="401"/>
      <c r="H56" s="472">
        <f>ROUND(FRPLsupplement,0)</f>
        <v>0</v>
      </c>
      <c r="I56"/>
      <c r="J56"/>
    </row>
    <row r="57" spans="1:10">
      <c r="A57" s="471" t="s">
        <v>560</v>
      </c>
      <c r="B57" s="401"/>
      <c r="C57" s="401"/>
      <c r="D57" s="401"/>
      <c r="E57" s="401"/>
      <c r="F57" s="401"/>
      <c r="G57" s="401"/>
      <c r="H57" s="472">
        <f>ROUND(CAAsupplement,0)</f>
        <v>0</v>
      </c>
      <c r="I57"/>
      <c r="J57"/>
    </row>
    <row r="58" spans="1:10">
      <c r="A58" s="149" t="s">
        <v>459</v>
      </c>
      <c r="B58"/>
      <c r="C58" s="189">
        <f>H51</f>
        <v>3265395.01</v>
      </c>
      <c r="D58" s="425" t="s">
        <v>329</v>
      </c>
      <c r="E58" s="189">
        <f>H54+H55+H56+H57</f>
        <v>23000</v>
      </c>
      <c r="F58"/>
      <c r="G58"/>
      <c r="H58" s="190">
        <f>C58+E58</f>
        <v>3288395.01</v>
      </c>
      <c r="I58"/>
      <c r="J58"/>
    </row>
    <row r="59" spans="1:10">
      <c r="A59"/>
      <c r="B59"/>
      <c r="C59"/>
      <c r="D59"/>
      <c r="E59"/>
      <c r="F59"/>
      <c r="G59"/>
      <c r="H59"/>
      <c r="I59"/>
      <c r="J59"/>
    </row>
    <row r="60" spans="1:10" ht="11.25" customHeight="1">
      <c r="A60" s="494" t="str">
        <f>A3</f>
        <v>Tucson International Academy</v>
      </c>
      <c r="B60" s="494"/>
      <c r="C60" s="494"/>
      <c r="D60" s="494"/>
      <c r="E60" s="494"/>
      <c r="F60" s="494"/>
      <c r="G60" s="494"/>
      <c r="H60" s="494"/>
      <c r="I60" s="494"/>
      <c r="J60" s="494"/>
    </row>
    <row r="61" spans="1:10" ht="12" customHeight="1">
      <c r="A61" s="494" t="s">
        <v>410</v>
      </c>
      <c r="B61" s="494"/>
      <c r="C61" s="494"/>
      <c r="D61" s="494"/>
      <c r="E61" s="494"/>
      <c r="F61" s="494"/>
      <c r="G61" s="494"/>
      <c r="H61" s="494"/>
      <c r="I61" s="494"/>
      <c r="J61" s="494"/>
    </row>
    <row r="62" spans="1:10">
      <c r="A62" s="494" t="s">
        <v>5</v>
      </c>
      <c r="B62" s="494"/>
      <c r="C62" s="494"/>
      <c r="D62" s="494"/>
      <c r="E62" s="494"/>
      <c r="F62" s="494"/>
      <c r="G62" s="494"/>
      <c r="H62" s="494"/>
      <c r="I62" s="494"/>
      <c r="J62" s="494"/>
    </row>
    <row r="63" spans="1:10" s="125" customFormat="1" ht="13.5" thickBot="1">
      <c r="A63" s="160"/>
      <c r="B63" s="160"/>
      <c r="C63" s="160"/>
      <c r="D63" s="160"/>
      <c r="E63" s="160"/>
      <c r="F63" s="160"/>
      <c r="G63" s="160"/>
      <c r="H63" s="160"/>
      <c r="I63" s="160"/>
      <c r="J63" s="161" t="s">
        <v>460</v>
      </c>
    </row>
    <row r="64" spans="1:10">
      <c r="A64"/>
      <c r="B64"/>
      <c r="C64"/>
      <c r="D64"/>
      <c r="E64"/>
      <c r="F64"/>
      <c r="G64"/>
      <c r="H64"/>
      <c r="I64"/>
      <c r="J64"/>
    </row>
    <row r="65" spans="1:10" ht="13.5" thickBot="1">
      <c r="A65" s="161" t="s">
        <v>461</v>
      </c>
      <c r="B65"/>
      <c r="C65" s="192" t="s">
        <v>324</v>
      </c>
      <c r="D65" s="160"/>
      <c r="E65" s="192" t="s">
        <v>325</v>
      </c>
      <c r="F65" s="160"/>
      <c r="G65" s="192" t="s">
        <v>326</v>
      </c>
      <c r="H65"/>
      <c r="I65"/>
      <c r="J65"/>
    </row>
    <row r="66" spans="1:10">
      <c r="A66" s="141" t="s">
        <v>462</v>
      </c>
      <c r="B66"/>
      <c r="C66" s="193">
        <f>SUM(B8:D8)</f>
        <v>0</v>
      </c>
      <c r="D66" s="167"/>
      <c r="E66" s="193">
        <f>SUM(B9:D9)</f>
        <v>293.5</v>
      </c>
      <c r="F66" s="167"/>
      <c r="G66" s="193">
        <f>SUM(B10:D10)</f>
        <v>133</v>
      </c>
      <c r="H66"/>
      <c r="I66"/>
      <c r="J66"/>
    </row>
    <row r="67" spans="1:10" ht="13.5" thickBot="1">
      <c r="A67" s="403" t="s">
        <v>463</v>
      </c>
      <c r="B67" s="470" t="s">
        <v>298</v>
      </c>
      <c r="C67" s="473">
        <v>2090.1</v>
      </c>
      <c r="D67" s="474" t="s">
        <v>298</v>
      </c>
      <c r="E67" s="473">
        <v>2090.1</v>
      </c>
      <c r="F67" s="474" t="s">
        <v>298</v>
      </c>
      <c r="G67" s="473">
        <v>2435.9699999999998</v>
      </c>
      <c r="H67"/>
      <c r="I67"/>
      <c r="J67"/>
    </row>
    <row r="68" spans="1:10" ht="12" customHeight="1">
      <c r="A68" s="113" t="s">
        <v>464</v>
      </c>
      <c r="B68" s="425" t="s">
        <v>332</v>
      </c>
      <c r="C68" s="189">
        <f>C66*C67</f>
        <v>0</v>
      </c>
      <c r="D68" s="425" t="s">
        <v>332</v>
      </c>
      <c r="E68" s="189">
        <f>E66*E67</f>
        <v>613444.35</v>
      </c>
      <c r="F68" s="425" t="s">
        <v>332</v>
      </c>
      <c r="G68" s="189">
        <f>G66*G67</f>
        <v>323984.01</v>
      </c>
      <c r="H68"/>
      <c r="I68"/>
      <c r="J68"/>
    </row>
    <row r="69" spans="1:10">
      <c r="A69" s="113" t="s">
        <v>465</v>
      </c>
      <c r="B69"/>
      <c r="C69"/>
      <c r="D69"/>
      <c r="E69"/>
      <c r="F69"/>
      <c r="G69"/>
      <c r="H69" s="190">
        <f>(C66*C67)+(E66*E67)+(G66*G67)</f>
        <v>937428.36</v>
      </c>
      <c r="I69"/>
      <c r="J69"/>
    </row>
    <row r="70" spans="1:10">
      <c r="A70"/>
      <c r="B70"/>
      <c r="C70"/>
      <c r="D70"/>
      <c r="E70"/>
      <c r="F70"/>
      <c r="G70"/>
      <c r="H70" s="187"/>
      <c r="I70"/>
      <c r="J70"/>
    </row>
    <row r="71" spans="1:10">
      <c r="A71" s="180" t="s">
        <v>466</v>
      </c>
      <c r="B71"/>
      <c r="C71"/>
      <c r="D71"/>
      <c r="E71"/>
      <c r="F71"/>
      <c r="G71"/>
      <c r="H71" s="187"/>
      <c r="I71"/>
      <c r="J71"/>
    </row>
    <row r="72" spans="1:10">
      <c r="A72"/>
      <c r="B72"/>
      <c r="C72"/>
      <c r="D72"/>
      <c r="E72"/>
      <c r="F72"/>
      <c r="G72"/>
      <c r="H72" s="187"/>
      <c r="I72"/>
      <c r="J72"/>
    </row>
    <row r="73" spans="1:10">
      <c r="A73" s="94" t="s">
        <v>469</v>
      </c>
      <c r="B73"/>
      <c r="C73"/>
      <c r="D73"/>
      <c r="E73"/>
      <c r="F73"/>
      <c r="G73"/>
      <c r="H73" s="190">
        <f>C68+E68+G68</f>
        <v>937428.36</v>
      </c>
      <c r="I73"/>
      <c r="J73"/>
    </row>
    <row r="74" spans="1:10">
      <c r="A74"/>
      <c r="B74"/>
      <c r="C74"/>
      <c r="D74"/>
      <c r="E74"/>
      <c r="F74"/>
      <c r="G74"/>
      <c r="H74" s="187"/>
      <c r="I74"/>
      <c r="J74"/>
    </row>
    <row r="75" spans="1:10">
      <c r="A75" s="94" t="s">
        <v>467</v>
      </c>
      <c r="B75"/>
      <c r="C75"/>
      <c r="D75"/>
      <c r="E75"/>
      <c r="F75"/>
      <c r="G75"/>
      <c r="H75" s="187"/>
      <c r="I75"/>
      <c r="J75"/>
    </row>
    <row r="76" spans="1:10">
      <c r="A76" t="s">
        <v>468</v>
      </c>
      <c r="B76"/>
      <c r="C76" s="189">
        <f>H58</f>
        <v>3288395.01</v>
      </c>
      <c r="D76"/>
      <c r="E76"/>
      <c r="F76"/>
      <c r="G76"/>
      <c r="H76" s="187"/>
      <c r="I76"/>
      <c r="J76"/>
    </row>
    <row r="77" spans="1:10">
      <c r="A77" t="s">
        <v>469</v>
      </c>
      <c r="B77" s="425" t="s">
        <v>329</v>
      </c>
      <c r="C77" s="189">
        <f>H73</f>
        <v>937428.36</v>
      </c>
      <c r="D77"/>
      <c r="E77"/>
      <c r="F77"/>
      <c r="G77"/>
      <c r="H77" s="187"/>
      <c r="I77"/>
      <c r="J77"/>
    </row>
    <row r="78" spans="1:10">
      <c r="A78"/>
      <c r="B78" s="425" t="s">
        <v>332</v>
      </c>
      <c r="C78" s="189">
        <f>C76+C77</f>
        <v>4225823.37</v>
      </c>
      <c r="D78"/>
      <c r="E78"/>
      <c r="F78"/>
      <c r="G78"/>
      <c r="H78" s="187"/>
      <c r="I78"/>
      <c r="J78"/>
    </row>
    <row r="79" spans="1:10">
      <c r="A79" s="94" t="s">
        <v>470</v>
      </c>
      <c r="B79"/>
      <c r="C79"/>
      <c r="D79"/>
      <c r="E79"/>
      <c r="F79"/>
      <c r="G79"/>
      <c r="H79" s="190">
        <f>C78</f>
        <v>4225823.37</v>
      </c>
      <c r="I79"/>
      <c r="J79"/>
    </row>
    <row r="80" spans="1:10">
      <c r="A80"/>
      <c r="B80"/>
      <c r="C80"/>
      <c r="D80"/>
      <c r="E80"/>
      <c r="F80"/>
      <c r="G80"/>
      <c r="H80" s="187"/>
      <c r="I80"/>
      <c r="J80"/>
    </row>
    <row r="81" spans="1:10">
      <c r="A81"/>
      <c r="B81"/>
      <c r="C81"/>
      <c r="D81"/>
      <c r="E81"/>
      <c r="F81"/>
      <c r="G81"/>
      <c r="H81" s="187"/>
      <c r="I81"/>
      <c r="J81"/>
    </row>
    <row r="82" spans="1:10">
      <c r="A82"/>
      <c r="B82"/>
      <c r="C82"/>
      <c r="D82"/>
      <c r="E82"/>
      <c r="F82"/>
      <c r="G82"/>
      <c r="H82" s="190">
        <f>H79</f>
        <v>4225823.37</v>
      </c>
      <c r="I82"/>
      <c r="J82"/>
    </row>
    <row r="83" spans="1:10">
      <c r="A83"/>
      <c r="B83"/>
      <c r="C83"/>
      <c r="D83"/>
      <c r="E83"/>
      <c r="F83"/>
      <c r="G83"/>
      <c r="H83" s="39"/>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2578125" defaultRowHeight="12.75"/>
  <cols>
    <col min="1" max="1" width="13" style="126" customWidth="1"/>
    <col min="2" max="2" width="23.42578125" style="127" customWidth="1"/>
    <col min="3" max="3" width="88.5703125" style="148" customWidth="1"/>
    <col min="4" max="4" width="26.42578125" style="141" customWidth="1"/>
    <col min="6" max="6" width="89" customWidth="1"/>
  </cols>
  <sheetData>
    <row r="1" spans="1:6" ht="51.75" customHeight="1">
      <c r="A1" s="153" t="s">
        <v>471</v>
      </c>
      <c r="B1" s="153" t="s">
        <v>472</v>
      </c>
      <c r="C1" s="154" t="s">
        <v>473</v>
      </c>
      <c r="D1" s="153" t="s">
        <v>474</v>
      </c>
    </row>
    <row r="2" spans="1:6" ht="234.75" customHeight="1">
      <c r="A2" s="155" t="s">
        <v>475</v>
      </c>
      <c r="B2" s="127" t="s">
        <v>476</v>
      </c>
      <c r="C2" s="113" t="s">
        <v>477</v>
      </c>
      <c r="D2" s="113"/>
      <c r="F2" s="148"/>
    </row>
    <row r="3" spans="1:6" ht="44.25" customHeight="1">
      <c r="A3" s="155" t="s">
        <v>475</v>
      </c>
      <c r="B3" s="127" t="s">
        <v>2</v>
      </c>
      <c r="C3" s="113" t="s">
        <v>478</v>
      </c>
    </row>
    <row r="4" spans="1:6" ht="76.5" customHeight="1">
      <c r="A4" s="155" t="s">
        <v>475</v>
      </c>
      <c r="B4" s="127" t="s">
        <v>21</v>
      </c>
      <c r="C4" s="113" t="s">
        <v>479</v>
      </c>
    </row>
    <row r="5" spans="1:6" ht="37.5" customHeight="1">
      <c r="A5" s="155" t="s">
        <v>475</v>
      </c>
      <c r="B5" s="127" t="s">
        <v>480</v>
      </c>
      <c r="C5" s="113" t="s">
        <v>481</v>
      </c>
    </row>
    <row r="6" spans="1:6" ht="112.5" customHeight="1">
      <c r="A6" s="155" t="s">
        <v>475</v>
      </c>
      <c r="B6" s="127" t="s">
        <v>289</v>
      </c>
      <c r="C6" s="113" t="s">
        <v>482</v>
      </c>
    </row>
    <row r="7" spans="1:6" ht="38.65" customHeight="1">
      <c r="A7" s="156" t="s">
        <v>483</v>
      </c>
      <c r="B7" s="127" t="s">
        <v>483</v>
      </c>
      <c r="C7" s="113" t="s">
        <v>484</v>
      </c>
    </row>
    <row r="8" spans="1:6" ht="166.15" customHeight="1">
      <c r="A8" s="429" t="s">
        <v>485</v>
      </c>
      <c r="B8" s="398" t="s">
        <v>485</v>
      </c>
      <c r="C8" s="403" t="s">
        <v>486</v>
      </c>
      <c r="D8" s="404" t="s">
        <v>487</v>
      </c>
    </row>
    <row r="9" spans="1:6" ht="175.9" customHeight="1">
      <c r="A9" s="465">
        <v>1</v>
      </c>
      <c r="B9" s="127" t="s">
        <v>476</v>
      </c>
      <c r="C9" s="141" t="s">
        <v>554</v>
      </c>
      <c r="D9" s="466"/>
      <c r="F9" s="141"/>
    </row>
    <row r="10" spans="1:6" ht="87.75" customHeight="1">
      <c r="A10" s="155">
        <v>1</v>
      </c>
      <c r="B10" s="127" t="s">
        <v>488</v>
      </c>
      <c r="C10" s="113" t="s">
        <v>489</v>
      </c>
    </row>
    <row r="11" spans="1:6" ht="17.25" customHeight="1">
      <c r="A11" s="155"/>
      <c r="C11" s="157" t="s">
        <v>490</v>
      </c>
    </row>
    <row r="12" spans="1:6" ht="49.5" customHeight="1">
      <c r="A12" s="155">
        <v>1</v>
      </c>
      <c r="B12" s="127" t="s">
        <v>491</v>
      </c>
      <c r="C12" s="113" t="s">
        <v>492</v>
      </c>
    </row>
    <row r="13" spans="1:6" ht="47.25" customHeight="1">
      <c r="A13" s="397">
        <v>1</v>
      </c>
      <c r="B13" s="398" t="s">
        <v>493</v>
      </c>
      <c r="C13" s="404" t="s">
        <v>494</v>
      </c>
      <c r="D13" s="404" t="s">
        <v>495</v>
      </c>
    </row>
    <row r="14" spans="1:6" ht="81.75" customHeight="1">
      <c r="A14" s="155">
        <v>2</v>
      </c>
      <c r="B14" s="127" t="s">
        <v>147</v>
      </c>
      <c r="C14" s="141" t="s">
        <v>496</v>
      </c>
      <c r="D14" s="158"/>
    </row>
    <row r="15" spans="1:6" ht="133.5" customHeight="1">
      <c r="A15" s="155">
        <v>2</v>
      </c>
      <c r="B15" s="127" t="s">
        <v>497</v>
      </c>
      <c r="C15" s="113" t="s">
        <v>498</v>
      </c>
    </row>
    <row r="16" spans="1:6" ht="127.5" customHeight="1">
      <c r="A16" s="155">
        <v>2</v>
      </c>
      <c r="B16" s="127" t="s">
        <v>499</v>
      </c>
      <c r="C16" s="141" t="s">
        <v>500</v>
      </c>
    </row>
    <row r="17" spans="1:6" ht="52.5" customHeight="1">
      <c r="A17" s="393">
        <v>2</v>
      </c>
      <c r="B17" s="394" t="s">
        <v>216</v>
      </c>
      <c r="C17" s="392" t="s">
        <v>501</v>
      </c>
      <c r="D17" s="399"/>
    </row>
    <row r="18" spans="1:6" ht="125.25" customHeight="1">
      <c r="A18" s="465">
        <v>2</v>
      </c>
      <c r="B18" s="127" t="s">
        <v>222</v>
      </c>
      <c r="C18" s="141" t="s">
        <v>555</v>
      </c>
      <c r="D18" s="466"/>
      <c r="F18" s="141"/>
    </row>
    <row r="19" spans="1:6" ht="45.75" customHeight="1">
      <c r="A19" s="155">
        <v>2</v>
      </c>
      <c r="B19" s="127" t="s">
        <v>148</v>
      </c>
      <c r="C19" s="113" t="s">
        <v>502</v>
      </c>
    </row>
    <row r="20" spans="1:6" ht="32.25" customHeight="1">
      <c r="A20" s="155">
        <v>2</v>
      </c>
      <c r="B20" s="127" t="s">
        <v>503</v>
      </c>
      <c r="C20" s="113" t="s">
        <v>504</v>
      </c>
    </row>
    <row r="21" spans="1:6" ht="54" customHeight="1">
      <c r="A21" s="155">
        <v>2</v>
      </c>
      <c r="B21" s="127" t="s">
        <v>505</v>
      </c>
      <c r="C21" s="141" t="s">
        <v>506</v>
      </c>
      <c r="D21" s="158"/>
    </row>
    <row r="22" spans="1:6" ht="63.75" customHeight="1">
      <c r="A22" s="155">
        <v>2</v>
      </c>
      <c r="B22" s="127" t="s">
        <v>198</v>
      </c>
      <c r="C22" s="113" t="s">
        <v>507</v>
      </c>
    </row>
    <row r="23" spans="1:6" ht="116.25" customHeight="1">
      <c r="A23" s="155">
        <v>2</v>
      </c>
      <c r="B23" s="127" t="s">
        <v>508</v>
      </c>
      <c r="C23" s="113" t="s">
        <v>509</v>
      </c>
    </row>
    <row r="24" spans="1:6" ht="35.25" customHeight="1">
      <c r="A24" s="155">
        <v>2</v>
      </c>
      <c r="B24" s="127" t="s">
        <v>510</v>
      </c>
      <c r="C24" s="113" t="s">
        <v>511</v>
      </c>
    </row>
    <row r="25" spans="1:6" ht="39" customHeight="1">
      <c r="A25" s="155">
        <v>2</v>
      </c>
      <c r="B25" s="127" t="s">
        <v>512</v>
      </c>
      <c r="C25" s="113" t="s">
        <v>513</v>
      </c>
    </row>
    <row r="26" spans="1:6" ht="69.599999999999994" customHeight="1">
      <c r="A26" s="465">
        <v>2</v>
      </c>
      <c r="B26" s="127" t="s">
        <v>220</v>
      </c>
      <c r="C26" s="141" t="s">
        <v>552</v>
      </c>
      <c r="D26" s="466"/>
      <c r="F26" s="141"/>
    </row>
    <row r="27" spans="1:6" ht="102">
      <c r="A27" s="397">
        <v>3</v>
      </c>
      <c r="B27" s="398" t="s">
        <v>281</v>
      </c>
      <c r="C27" s="404" t="s">
        <v>514</v>
      </c>
      <c r="D27" s="400" t="s">
        <v>515</v>
      </c>
    </row>
    <row r="28" spans="1:6" ht="102" customHeight="1">
      <c r="A28" s="155">
        <v>3</v>
      </c>
      <c r="B28" s="127" t="s">
        <v>281</v>
      </c>
      <c r="C28" s="141" t="s">
        <v>516</v>
      </c>
    </row>
    <row r="29" spans="1:6" ht="84" customHeight="1">
      <c r="A29" s="465">
        <v>3</v>
      </c>
      <c r="B29" s="127" t="s">
        <v>517</v>
      </c>
      <c r="C29" s="141" t="s">
        <v>553</v>
      </c>
      <c r="D29" s="466"/>
      <c r="F29" s="141"/>
    </row>
    <row r="30" spans="1:6" ht="57.75" customHeight="1">
      <c r="A30" s="155">
        <v>4</v>
      </c>
      <c r="B30" s="127" t="s">
        <v>518</v>
      </c>
      <c r="C30" s="141" t="s">
        <v>519</v>
      </c>
    </row>
    <row r="31" spans="1:6" ht="56.25" customHeight="1">
      <c r="A31" s="155">
        <v>4</v>
      </c>
      <c r="B31" s="127" t="s">
        <v>520</v>
      </c>
      <c r="C31" s="141" t="s">
        <v>521</v>
      </c>
    </row>
    <row r="32" spans="1:6" ht="45" customHeight="1">
      <c r="A32" s="430" t="s">
        <v>522</v>
      </c>
      <c r="B32" s="127" t="s">
        <v>476</v>
      </c>
      <c r="C32" s="141" t="s">
        <v>523</v>
      </c>
    </row>
    <row r="33" spans="1:4" ht="45" customHeight="1">
      <c r="A33" s="429" t="s">
        <v>540</v>
      </c>
      <c r="B33" s="398" t="s">
        <v>524</v>
      </c>
      <c r="C33" s="404" t="s">
        <v>535</v>
      </c>
      <c r="D33" s="404" t="s">
        <v>549</v>
      </c>
    </row>
    <row r="34" spans="1:4" ht="46.5" customHeight="1">
      <c r="A34" s="429" t="s">
        <v>540</v>
      </c>
      <c r="B34" s="398" t="s">
        <v>525</v>
      </c>
      <c r="C34" s="404" t="s">
        <v>541</v>
      </c>
      <c r="D34" s="404" t="s">
        <v>549</v>
      </c>
    </row>
    <row r="35" spans="1:4" ht="47.25" customHeight="1">
      <c r="A35" s="429" t="s">
        <v>540</v>
      </c>
      <c r="B35" s="398" t="s">
        <v>526</v>
      </c>
      <c r="C35" s="404" t="s">
        <v>542</v>
      </c>
      <c r="D35" s="404" t="s">
        <v>549</v>
      </c>
    </row>
    <row r="36" spans="1:4" ht="50.25" customHeight="1">
      <c r="A36" s="429" t="s">
        <v>540</v>
      </c>
      <c r="B36" s="398" t="s">
        <v>527</v>
      </c>
      <c r="C36" s="404" t="s">
        <v>546</v>
      </c>
      <c r="D36" s="404" t="s">
        <v>549</v>
      </c>
    </row>
    <row r="37" spans="1:4" ht="56.25" customHeight="1">
      <c r="A37" s="429" t="s">
        <v>540</v>
      </c>
      <c r="B37" s="398" t="s">
        <v>528</v>
      </c>
      <c r="C37" s="404" t="s">
        <v>547</v>
      </c>
      <c r="D37" s="404" t="s">
        <v>549</v>
      </c>
    </row>
    <row r="38" spans="1:4" ht="61.5" customHeight="1">
      <c r="A38" s="429" t="s">
        <v>540</v>
      </c>
      <c r="B38" s="398" t="s">
        <v>529</v>
      </c>
      <c r="C38" s="404" t="s">
        <v>543</v>
      </c>
      <c r="D38" s="404" t="s">
        <v>549</v>
      </c>
    </row>
    <row r="39" spans="1:4" ht="72" customHeight="1">
      <c r="A39" s="429" t="s">
        <v>540</v>
      </c>
      <c r="B39" s="398" t="s">
        <v>530</v>
      </c>
      <c r="C39" s="404" t="s">
        <v>544</v>
      </c>
      <c r="D39" s="404" t="s">
        <v>549</v>
      </c>
    </row>
    <row r="40" spans="1:4" ht="61.5" customHeight="1">
      <c r="A40" s="429" t="s">
        <v>540</v>
      </c>
      <c r="B40" s="398" t="s">
        <v>531</v>
      </c>
      <c r="C40" s="404" t="s">
        <v>548</v>
      </c>
      <c r="D40" s="404" t="s">
        <v>549</v>
      </c>
    </row>
    <row r="41" spans="1:4" ht="48" customHeight="1">
      <c r="A41" s="429" t="s">
        <v>540</v>
      </c>
      <c r="B41" s="398" t="s">
        <v>532</v>
      </c>
      <c r="C41" s="404" t="s">
        <v>545</v>
      </c>
      <c r="D41" s="404" t="s">
        <v>549</v>
      </c>
    </row>
    <row r="42" spans="1:4" ht="38.25">
      <c r="A42" s="429" t="s">
        <v>540</v>
      </c>
      <c r="B42" s="398" t="s">
        <v>533</v>
      </c>
      <c r="C42" s="404" t="s">
        <v>534</v>
      </c>
      <c r="D42" s="404" t="s">
        <v>549</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6"/>
  <sheetViews>
    <sheetView showGridLines="0" zoomScaleNormal="100" zoomScaleSheetLayoutView="100" workbookViewId="0">
      <selection activeCell="B57" sqref="B57"/>
    </sheetView>
  </sheetViews>
  <sheetFormatPr defaultColWidth="9.42578125" defaultRowHeight="12.75"/>
  <cols>
    <col min="1" max="1" width="19" customWidth="1"/>
    <col min="2" max="2" width="26.42578125" customWidth="1"/>
    <col min="3" max="3" width="9.5703125" customWidth="1"/>
    <col min="4" max="4" width="24.42578125" customWidth="1"/>
    <col min="5" max="5" width="16" customWidth="1"/>
    <col min="6" max="6" width="12.42578125" customWidth="1"/>
    <col min="7" max="7" width="41.5703125" customWidth="1"/>
    <col min="8" max="8" width="17.5703125" customWidth="1"/>
    <col min="9" max="9" width="11" customWidth="1"/>
    <col min="10" max="25" width="9.42578125" customWidth="1"/>
    <col min="26" max="26" width="9" style="195" customWidth="1"/>
  </cols>
  <sheetData>
    <row r="1" spans="1:27">
      <c r="A1" t="s">
        <v>0</v>
      </c>
      <c r="B1" s="528" t="str">
        <f>CharterName</f>
        <v>Tucson International Academy</v>
      </c>
      <c r="C1" s="528"/>
      <c r="E1" s="405" t="s">
        <v>46</v>
      </c>
      <c r="F1" s="194" t="str">
        <f>Cover!M1</f>
        <v>Pima</v>
      </c>
      <c r="G1" s="425" t="s">
        <v>2</v>
      </c>
      <c r="H1" s="426" t="str">
        <f>CTD</f>
        <v>108714000</v>
      </c>
      <c r="Y1" s="150"/>
    </row>
    <row r="2" spans="1:27">
      <c r="B2" s="196"/>
      <c r="C2" s="196"/>
      <c r="E2" s="425"/>
      <c r="F2" s="145"/>
      <c r="G2" s="425"/>
      <c r="H2" s="39"/>
      <c r="Y2" s="150"/>
    </row>
    <row r="3" spans="1:27">
      <c r="B3" s="196"/>
      <c r="C3" s="196"/>
      <c r="E3" s="425"/>
      <c r="F3" s="145"/>
      <c r="G3" s="425"/>
      <c r="H3" s="39"/>
      <c r="Y3" s="150"/>
    </row>
    <row r="4" spans="1:27">
      <c r="B4" s="196"/>
      <c r="C4" s="529" t="s">
        <v>47</v>
      </c>
      <c r="D4" s="529"/>
      <c r="E4" s="529"/>
      <c r="F4" s="529"/>
      <c r="G4" s="529"/>
      <c r="H4" s="529"/>
      <c r="Y4" s="150"/>
    </row>
    <row r="5" spans="1:27">
      <c r="Y5" s="150"/>
      <c r="Z5" s="195" t="s">
        <v>48</v>
      </c>
    </row>
    <row r="6" spans="1:27">
      <c r="C6" s="106" t="s">
        <v>49</v>
      </c>
      <c r="D6" s="106" t="s">
        <v>50</v>
      </c>
      <c r="E6" s="530" t="s">
        <v>51</v>
      </c>
      <c r="F6" s="531"/>
      <c r="G6" s="106" t="s">
        <v>52</v>
      </c>
      <c r="H6" s="106" t="s">
        <v>53</v>
      </c>
      <c r="I6" s="106" t="s">
        <v>54</v>
      </c>
      <c r="Y6" s="150"/>
      <c r="Z6" s="195" t="s">
        <v>55</v>
      </c>
      <c r="AA6" s="197"/>
    </row>
    <row r="7" spans="1:27">
      <c r="A7" s="526" t="s">
        <v>56</v>
      </c>
      <c r="B7" s="527"/>
      <c r="C7" s="24" t="s">
        <v>58</v>
      </c>
      <c r="D7" s="24" t="s">
        <v>571</v>
      </c>
      <c r="E7" s="518" t="s">
        <v>572</v>
      </c>
      <c r="F7" s="519"/>
      <c r="G7" s="200" t="s">
        <v>570</v>
      </c>
      <c r="H7" s="25" t="s">
        <v>573</v>
      </c>
      <c r="I7" s="24"/>
      <c r="Y7" s="150"/>
      <c r="Z7" s="195" t="s">
        <v>57</v>
      </c>
      <c r="AA7" s="197"/>
    </row>
    <row r="8" spans="1:27">
      <c r="A8" s="526" t="s">
        <v>56</v>
      </c>
      <c r="B8" s="527"/>
      <c r="C8" s="24" t="s">
        <v>55</v>
      </c>
      <c r="D8" s="24" t="s">
        <v>574</v>
      </c>
      <c r="E8" s="513" t="s">
        <v>572</v>
      </c>
      <c r="F8" s="514"/>
      <c r="G8" s="200" t="s">
        <v>575</v>
      </c>
      <c r="H8" s="25" t="s">
        <v>576</v>
      </c>
      <c r="I8" s="24"/>
      <c r="Y8" s="150"/>
      <c r="Z8" s="195" t="s">
        <v>58</v>
      </c>
      <c r="AA8" s="197"/>
    </row>
    <row r="9" spans="1:27">
      <c r="A9" s="526" t="s">
        <v>59</v>
      </c>
      <c r="B9" s="527"/>
      <c r="C9" s="24" t="s">
        <v>58</v>
      </c>
      <c r="D9" s="24" t="s">
        <v>571</v>
      </c>
      <c r="E9" s="513" t="s">
        <v>572</v>
      </c>
      <c r="F9" s="514"/>
      <c r="G9" s="201" t="s">
        <v>570</v>
      </c>
      <c r="H9" s="25" t="s">
        <v>573</v>
      </c>
      <c r="I9" s="24"/>
      <c r="Y9" s="150"/>
      <c r="Z9" s="198" t="s">
        <v>60</v>
      </c>
      <c r="AA9" s="197"/>
    </row>
    <row r="10" spans="1:27">
      <c r="A10" s="526" t="s">
        <v>61</v>
      </c>
      <c r="B10" s="527"/>
      <c r="C10" s="24" t="s">
        <v>55</v>
      </c>
      <c r="D10" s="24" t="s">
        <v>577</v>
      </c>
      <c r="E10" s="513" t="s">
        <v>578</v>
      </c>
      <c r="F10" s="514"/>
      <c r="G10" s="200" t="s">
        <v>579</v>
      </c>
      <c r="H10" s="25" t="s">
        <v>580</v>
      </c>
      <c r="I10" s="24"/>
      <c r="Y10" s="150"/>
      <c r="AA10" s="197"/>
    </row>
    <row r="11" spans="1:27">
      <c r="A11" s="409" t="s">
        <v>62</v>
      </c>
      <c r="B11" s="410"/>
      <c r="C11" s="24" t="s">
        <v>58</v>
      </c>
      <c r="D11" s="24" t="s">
        <v>581</v>
      </c>
      <c r="E11" s="513" t="s">
        <v>582</v>
      </c>
      <c r="F11" s="514"/>
      <c r="G11" s="201" t="s">
        <v>583</v>
      </c>
      <c r="H11" s="25" t="s">
        <v>584</v>
      </c>
      <c r="I11" s="24"/>
      <c r="Y11" s="150"/>
      <c r="Z11" s="195" t="s">
        <v>63</v>
      </c>
      <c r="AA11" s="197"/>
    </row>
    <row r="12" spans="1:27">
      <c r="A12" s="526" t="s">
        <v>64</v>
      </c>
      <c r="B12" s="527"/>
      <c r="C12" s="24" t="s">
        <v>58</v>
      </c>
      <c r="D12" s="24" t="s">
        <v>585</v>
      </c>
      <c r="E12" s="513" t="s">
        <v>586</v>
      </c>
      <c r="F12" s="514"/>
      <c r="G12" s="200" t="s">
        <v>587</v>
      </c>
      <c r="H12" s="25" t="s">
        <v>588</v>
      </c>
      <c r="I12" s="24"/>
      <c r="Y12" s="150"/>
      <c r="Z12" s="195" t="s">
        <v>65</v>
      </c>
      <c r="AA12" s="197"/>
    </row>
    <row r="13" spans="1:27">
      <c r="A13" s="526" t="s">
        <v>66</v>
      </c>
      <c r="B13" s="527"/>
      <c r="C13" s="24" t="s">
        <v>58</v>
      </c>
      <c r="D13" s="24" t="s">
        <v>585</v>
      </c>
      <c r="E13" s="513" t="s">
        <v>586</v>
      </c>
      <c r="F13" s="514"/>
      <c r="G13" s="200" t="s">
        <v>587</v>
      </c>
      <c r="H13" s="25" t="s">
        <v>588</v>
      </c>
      <c r="I13" s="24"/>
      <c r="Y13" s="150"/>
      <c r="AA13" s="197"/>
    </row>
    <row r="14" spans="1:27">
      <c r="A14" s="409" t="s">
        <v>67</v>
      </c>
      <c r="B14" s="410"/>
      <c r="C14" s="24" t="s">
        <v>58</v>
      </c>
      <c r="D14" s="24" t="s">
        <v>589</v>
      </c>
      <c r="E14" s="513" t="s">
        <v>590</v>
      </c>
      <c r="F14" s="514"/>
      <c r="G14" s="201" t="s">
        <v>591</v>
      </c>
      <c r="H14" s="25" t="s">
        <v>592</v>
      </c>
      <c r="I14" s="24"/>
      <c r="Y14" s="150"/>
      <c r="AA14" s="197"/>
    </row>
    <row r="15" spans="1:27">
      <c r="A15" s="409" t="s">
        <v>68</v>
      </c>
      <c r="B15" s="410"/>
      <c r="C15" s="24" t="s">
        <v>58</v>
      </c>
      <c r="D15" s="24" t="s">
        <v>585</v>
      </c>
      <c r="E15" s="513" t="s">
        <v>586</v>
      </c>
      <c r="F15" s="514"/>
      <c r="G15" s="201" t="s">
        <v>587</v>
      </c>
      <c r="H15" s="25" t="s">
        <v>588</v>
      </c>
      <c r="I15" s="24"/>
      <c r="Y15" s="150"/>
      <c r="AA15" s="197"/>
    </row>
    <row r="16" spans="1:27">
      <c r="A16" s="409" t="s">
        <v>69</v>
      </c>
      <c r="B16" s="410"/>
      <c r="C16" s="24" t="s">
        <v>58</v>
      </c>
      <c r="D16" s="24" t="s">
        <v>593</v>
      </c>
      <c r="E16" s="513" t="s">
        <v>594</v>
      </c>
      <c r="F16" s="514"/>
      <c r="G16" s="201" t="s">
        <v>595</v>
      </c>
      <c r="H16" s="25" t="s">
        <v>596</v>
      </c>
      <c r="I16" s="24"/>
      <c r="Y16" s="150"/>
      <c r="AA16" s="197"/>
    </row>
    <row r="17" spans="1:27">
      <c r="A17" s="409" t="s">
        <v>70</v>
      </c>
      <c r="B17" s="410"/>
      <c r="C17" s="24" t="s">
        <v>55</v>
      </c>
      <c r="D17" s="24" t="s">
        <v>577</v>
      </c>
      <c r="E17" s="513" t="s">
        <v>578</v>
      </c>
      <c r="F17" s="514"/>
      <c r="G17" s="201" t="s">
        <v>579</v>
      </c>
      <c r="H17" s="25" t="s">
        <v>580</v>
      </c>
      <c r="I17" s="24"/>
      <c r="Y17" s="150"/>
      <c r="AA17" s="197"/>
    </row>
    <row r="18" spans="1:27">
      <c r="A18" s="526" t="s">
        <v>71</v>
      </c>
      <c r="B18" s="527"/>
      <c r="C18" s="24" t="s">
        <v>55</v>
      </c>
      <c r="D18" s="24" t="s">
        <v>597</v>
      </c>
      <c r="E18" s="513" t="s">
        <v>598</v>
      </c>
      <c r="F18" s="514"/>
      <c r="G18" s="201" t="s">
        <v>599</v>
      </c>
      <c r="H18" s="25" t="s">
        <v>600</v>
      </c>
      <c r="I18" s="24"/>
      <c r="Y18" s="150"/>
      <c r="AA18" s="197"/>
    </row>
    <row r="19" spans="1:27">
      <c r="A19" s="526" t="s">
        <v>71</v>
      </c>
      <c r="B19" s="527"/>
      <c r="C19" s="24" t="s">
        <v>58</v>
      </c>
      <c r="D19" s="24" t="s">
        <v>601</v>
      </c>
      <c r="E19" s="513" t="s">
        <v>602</v>
      </c>
      <c r="F19" s="514"/>
      <c r="G19" s="201" t="s">
        <v>603</v>
      </c>
      <c r="H19" s="25" t="s">
        <v>604</v>
      </c>
      <c r="I19" s="24"/>
      <c r="Y19" s="150"/>
      <c r="AA19" s="197"/>
    </row>
    <row r="20" spans="1:27">
      <c r="A20" s="526" t="s">
        <v>71</v>
      </c>
      <c r="B20" s="527"/>
      <c r="C20" s="24" t="s">
        <v>55</v>
      </c>
      <c r="D20" s="24" t="s">
        <v>605</v>
      </c>
      <c r="E20" s="513" t="s">
        <v>606</v>
      </c>
      <c r="F20" s="514"/>
      <c r="G20" s="201" t="s">
        <v>607</v>
      </c>
      <c r="H20" s="25" t="s">
        <v>608</v>
      </c>
      <c r="I20" s="24"/>
      <c r="Y20" s="150"/>
      <c r="AA20" s="197"/>
    </row>
    <row r="21" spans="1:27">
      <c r="A21" s="526" t="s">
        <v>71</v>
      </c>
      <c r="B21" s="527"/>
      <c r="C21" s="24" t="s">
        <v>58</v>
      </c>
      <c r="D21" s="24" t="s">
        <v>609</v>
      </c>
      <c r="E21" s="513" t="s">
        <v>572</v>
      </c>
      <c r="F21" s="514"/>
      <c r="G21" s="201" t="s">
        <v>570</v>
      </c>
      <c r="H21" s="25" t="s">
        <v>610</v>
      </c>
      <c r="I21" s="24"/>
      <c r="Y21" s="150"/>
      <c r="AA21" s="197"/>
    </row>
    <row r="22" spans="1:27">
      <c r="A22" s="526" t="s">
        <v>71</v>
      </c>
      <c r="B22" s="527"/>
      <c r="C22" s="24" t="s">
        <v>55</v>
      </c>
      <c r="D22" s="24" t="s">
        <v>574</v>
      </c>
      <c r="E22" s="513" t="s">
        <v>572</v>
      </c>
      <c r="F22" s="514"/>
      <c r="G22" s="201" t="s">
        <v>575</v>
      </c>
      <c r="H22" s="25" t="s">
        <v>576</v>
      </c>
      <c r="I22" s="24"/>
      <c r="Y22" s="150"/>
      <c r="AA22" s="197"/>
    </row>
    <row r="23" spans="1:27">
      <c r="A23" s="526" t="s">
        <v>71</v>
      </c>
      <c r="B23" s="527"/>
      <c r="C23" s="24"/>
      <c r="D23" s="24"/>
      <c r="E23" s="518"/>
      <c r="F23" s="519"/>
      <c r="G23" s="201"/>
      <c r="H23" s="25"/>
      <c r="I23" s="24"/>
      <c r="Y23" s="150"/>
      <c r="AA23" s="197"/>
    </row>
    <row r="24" spans="1:27">
      <c r="A24" s="526" t="s">
        <v>71</v>
      </c>
      <c r="B24" s="527"/>
      <c r="C24" s="24"/>
      <c r="D24" s="24"/>
      <c r="E24" s="513"/>
      <c r="F24" s="514"/>
      <c r="G24" s="201"/>
      <c r="H24" s="25"/>
      <c r="I24" s="24"/>
      <c r="Y24" s="150"/>
      <c r="AA24" s="197"/>
    </row>
    <row r="25" spans="1:27">
      <c r="A25" s="526" t="s">
        <v>71</v>
      </c>
      <c r="B25" s="527"/>
      <c r="C25" s="24"/>
      <c r="D25" s="24"/>
      <c r="E25" s="513"/>
      <c r="F25" s="514"/>
      <c r="G25" s="201"/>
      <c r="H25" s="25"/>
      <c r="I25" s="24"/>
      <c r="Y25" s="150"/>
      <c r="AA25" s="197"/>
    </row>
    <row r="26" spans="1:27">
      <c r="A26" s="526" t="s">
        <v>71</v>
      </c>
      <c r="B26" s="527"/>
      <c r="C26" s="24"/>
      <c r="D26" s="24"/>
      <c r="E26" s="513"/>
      <c r="F26" s="514"/>
      <c r="G26" s="201"/>
      <c r="H26" s="25"/>
      <c r="I26" s="24"/>
      <c r="Y26" s="150"/>
      <c r="AA26" s="197"/>
    </row>
    <row r="27" spans="1:27">
      <c r="A27" s="526" t="s">
        <v>71</v>
      </c>
      <c r="B27" s="527"/>
      <c r="C27" s="24"/>
      <c r="D27" s="24"/>
      <c r="E27" s="513"/>
      <c r="F27" s="514"/>
      <c r="G27" s="201"/>
      <c r="H27" s="25"/>
      <c r="I27" s="24"/>
      <c r="Y27" s="150"/>
      <c r="Z27" s="198" t="s">
        <v>72</v>
      </c>
      <c r="AA27" s="197"/>
    </row>
    <row r="28" spans="1:27">
      <c r="Y28" s="150"/>
      <c r="Z28" s="198"/>
      <c r="AA28" s="197"/>
    </row>
    <row r="29" spans="1:27">
      <c r="C29" s="517" t="s">
        <v>73</v>
      </c>
      <c r="D29" s="517"/>
      <c r="Y29" s="150"/>
      <c r="Z29" s="198" t="s">
        <v>74</v>
      </c>
      <c r="AA29" s="197"/>
    </row>
    <row r="30" spans="1:27">
      <c r="A30" s="526" t="s">
        <v>75</v>
      </c>
      <c r="B30" s="527"/>
      <c r="C30" s="518" t="s">
        <v>91</v>
      </c>
      <c r="D30" s="519"/>
      <c r="Y30" s="150"/>
      <c r="Z30" s="195" t="s">
        <v>76</v>
      </c>
      <c r="AA30" s="197"/>
    </row>
    <row r="31" spans="1:27">
      <c r="Y31" s="150"/>
      <c r="Z31" s="195" t="s">
        <v>77</v>
      </c>
      <c r="AA31" s="197"/>
    </row>
    <row r="32" spans="1:27" ht="12.75" customHeight="1">
      <c r="A32" t="s">
        <v>78</v>
      </c>
      <c r="C32" s="518" t="s">
        <v>611</v>
      </c>
      <c r="D32" s="519"/>
      <c r="F32" s="415"/>
      <c r="G32" s="415"/>
      <c r="Y32" s="150"/>
      <c r="Z32" s="198" t="s">
        <v>79</v>
      </c>
      <c r="AA32" s="197"/>
    </row>
    <row r="33" spans="1:27">
      <c r="F33" s="415"/>
      <c r="G33" s="415"/>
      <c r="Y33" s="150"/>
      <c r="Z33" s="198" t="s">
        <v>80</v>
      </c>
      <c r="AA33" s="197"/>
    </row>
    <row r="34" spans="1:27">
      <c r="A34" s="533" t="s">
        <v>81</v>
      </c>
      <c r="B34" s="533"/>
      <c r="C34" s="520" t="s">
        <v>65</v>
      </c>
      <c r="D34" s="521"/>
      <c r="F34" s="415"/>
      <c r="G34" s="415"/>
      <c r="Y34" s="150"/>
      <c r="Z34" s="195" t="s">
        <v>82</v>
      </c>
      <c r="AA34" s="197"/>
    </row>
    <row r="35" spans="1:27">
      <c r="A35" s="533"/>
      <c r="B35" s="533"/>
      <c r="C35" s="522"/>
      <c r="D35" s="523"/>
      <c r="Y35" s="150"/>
      <c r="Z35" s="195" t="s">
        <v>83</v>
      </c>
      <c r="AA35" s="197"/>
    </row>
    <row r="36" spans="1:27">
      <c r="Y36" s="150"/>
      <c r="Z36" s="195" t="s">
        <v>84</v>
      </c>
      <c r="AA36" s="197"/>
    </row>
    <row r="37" spans="1:27">
      <c r="A37" s="491" t="s">
        <v>85</v>
      </c>
      <c r="B37" s="534"/>
      <c r="C37" s="524" t="s">
        <v>612</v>
      </c>
      <c r="D37" s="525"/>
      <c r="Y37" s="150"/>
      <c r="Z37" s="198" t="s">
        <v>86</v>
      </c>
      <c r="AA37" s="197"/>
    </row>
    <row r="38" spans="1:27">
      <c r="Y38" s="150"/>
      <c r="Z38" s="195" t="s">
        <v>87</v>
      </c>
      <c r="AA38" s="197"/>
    </row>
    <row r="39" spans="1:27">
      <c r="A39" s="252" t="s">
        <v>88</v>
      </c>
      <c r="B39" s="395"/>
      <c r="C39" s="370"/>
      <c r="D39" s="370"/>
      <c r="Y39" s="150"/>
      <c r="Z39" s="198" t="s">
        <v>89</v>
      </c>
      <c r="AA39" s="197"/>
    </row>
    <row r="40" spans="1:27">
      <c r="A40" s="401" t="s">
        <v>90</v>
      </c>
      <c r="B40" s="401"/>
      <c r="C40" s="515"/>
      <c r="D40" s="515"/>
      <c r="Y40" s="150"/>
      <c r="Z40" s="198" t="s">
        <v>91</v>
      </c>
      <c r="AA40" s="197"/>
    </row>
    <row r="41" spans="1:27">
      <c r="A41" s="402" t="s">
        <v>92</v>
      </c>
      <c r="B41" s="402"/>
      <c r="C41" s="516"/>
      <c r="D41" s="516"/>
      <c r="Y41" s="150"/>
      <c r="Z41" s="198" t="s">
        <v>93</v>
      </c>
      <c r="AA41" s="197"/>
    </row>
    <row r="42" spans="1:27">
      <c r="A42" s="401" t="s">
        <v>94</v>
      </c>
      <c r="B42" s="401"/>
      <c r="C42" s="512"/>
      <c r="D42" s="512"/>
      <c r="Y42" s="150"/>
      <c r="AA42" s="197"/>
    </row>
    <row r="43" spans="1:27">
      <c r="A43" s="401" t="s">
        <v>95</v>
      </c>
      <c r="B43" s="401"/>
      <c r="C43" s="512"/>
      <c r="D43" s="512"/>
      <c r="Y43" s="150"/>
      <c r="Z43" s="198"/>
      <c r="AA43" s="197"/>
    </row>
    <row r="44" spans="1:27">
      <c r="A44" s="401" t="s">
        <v>96</v>
      </c>
      <c r="B44" s="401"/>
      <c r="C44" s="512"/>
      <c r="D44" s="512"/>
      <c r="AA44" s="197"/>
    </row>
    <row r="45" spans="1:27">
      <c r="A45" s="532" t="s">
        <v>97</v>
      </c>
      <c r="B45" s="532"/>
      <c r="C45" s="512"/>
      <c r="D45" s="512"/>
      <c r="AA45" s="197"/>
    </row>
    <row r="46" spans="1:27">
      <c r="A46" s="401" t="s">
        <v>98</v>
      </c>
      <c r="B46" s="401"/>
      <c r="C46" s="512"/>
      <c r="D46" s="512"/>
    </row>
    <row r="47" spans="1:27">
      <c r="A47" s="401" t="s">
        <v>17</v>
      </c>
      <c r="B47" s="401"/>
      <c r="C47" s="512"/>
      <c r="D47" s="512"/>
    </row>
    <row r="48" spans="1:27">
      <c r="A48" s="402" t="s">
        <v>99</v>
      </c>
      <c r="B48" s="402"/>
      <c r="C48" s="512"/>
      <c r="D48" s="512"/>
    </row>
    <row r="50" spans="2:2" ht="15">
      <c r="B50" s="199"/>
    </row>
    <row r="56" spans="2:2" ht="15">
      <c r="B56" s="199"/>
    </row>
  </sheetData>
  <sheetProtection sheet="1" objects="1" scenarios="1"/>
  <mergeCells count="58">
    <mergeCell ref="E26:F26"/>
    <mergeCell ref="E15:F15"/>
    <mergeCell ref="E20:F20"/>
    <mergeCell ref="E21:F21"/>
    <mergeCell ref="E22:F22"/>
    <mergeCell ref="E23:F23"/>
    <mergeCell ref="E25:F25"/>
    <mergeCell ref="E24:F24"/>
    <mergeCell ref="E16:F16"/>
    <mergeCell ref="E17:F17"/>
    <mergeCell ref="E18:F18"/>
    <mergeCell ref="A45:B45"/>
    <mergeCell ref="A30:B30"/>
    <mergeCell ref="A20:B20"/>
    <mergeCell ref="A21:B21"/>
    <mergeCell ref="A22:B22"/>
    <mergeCell ref="A34:B35"/>
    <mergeCell ref="A25:B25"/>
    <mergeCell ref="A37:B37"/>
    <mergeCell ref="A23:B23"/>
    <mergeCell ref="A24:B24"/>
    <mergeCell ref="A27:B27"/>
    <mergeCell ref="A26:B26"/>
    <mergeCell ref="B1:C1"/>
    <mergeCell ref="C4:H4"/>
    <mergeCell ref="A9:B9"/>
    <mergeCell ref="E6:F6"/>
    <mergeCell ref="E7:F7"/>
    <mergeCell ref="E8:F8"/>
    <mergeCell ref="E12:F12"/>
    <mergeCell ref="E19:F19"/>
    <mergeCell ref="A13:B13"/>
    <mergeCell ref="A18:B18"/>
    <mergeCell ref="A19:B19"/>
    <mergeCell ref="A12:B12"/>
    <mergeCell ref="E13:F13"/>
    <mergeCell ref="E14:F14"/>
    <mergeCell ref="E11:F11"/>
    <mergeCell ref="E9:F9"/>
    <mergeCell ref="E10:F10"/>
    <mergeCell ref="A7:B7"/>
    <mergeCell ref="A8:B8"/>
    <mergeCell ref="A10:B10"/>
    <mergeCell ref="E27:F27"/>
    <mergeCell ref="C40:D40"/>
    <mergeCell ref="C41:D41"/>
    <mergeCell ref="C42:D42"/>
    <mergeCell ref="C43:D43"/>
    <mergeCell ref="C29:D29"/>
    <mergeCell ref="C30:D30"/>
    <mergeCell ref="C34:D35"/>
    <mergeCell ref="C32:D32"/>
    <mergeCell ref="C37:D37"/>
    <mergeCell ref="C44:D44"/>
    <mergeCell ref="C45:D45"/>
    <mergeCell ref="C46:D46"/>
    <mergeCell ref="C47:D47"/>
    <mergeCell ref="C48:D4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scale="70"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workbookViewId="0">
      <selection activeCell="F62" sqref="F62"/>
    </sheetView>
  </sheetViews>
  <sheetFormatPr defaultColWidth="9" defaultRowHeight="12.75" customHeight="1"/>
  <cols>
    <col min="1" max="2" width="1.5703125" customWidth="1"/>
    <col min="3" max="3" width="14.5703125" customWidth="1"/>
    <col min="4" max="4" width="43.42578125" customWidth="1"/>
    <col min="5" max="5" width="4" customWidth="1"/>
    <col min="6" max="13" width="12.5703125" customWidth="1"/>
    <col min="14" max="14" width="4" style="39" customWidth="1"/>
    <col min="15" max="15" width="9" customWidth="1"/>
  </cols>
  <sheetData>
    <row r="1" spans="1:14" ht="12" customHeight="1">
      <c r="A1" t="s">
        <v>0</v>
      </c>
      <c r="D1" s="535" t="str">
        <f>CharterName</f>
        <v>Tucson International Academy</v>
      </c>
      <c r="E1" s="535"/>
      <c r="F1" s="535"/>
      <c r="H1" s="425" t="s">
        <v>1</v>
      </c>
      <c r="I1" s="536" t="str">
        <f>Cover!M1</f>
        <v>Pima</v>
      </c>
      <c r="J1" s="536"/>
      <c r="L1" s="425" t="s">
        <v>2</v>
      </c>
      <c r="M1" s="536" t="str">
        <f>CTD</f>
        <v>108714000</v>
      </c>
      <c r="N1" s="536"/>
    </row>
    <row r="2" spans="1:14" ht="3.75" customHeight="1">
      <c r="A2" s="202"/>
      <c r="B2" s="202"/>
      <c r="C2" s="202"/>
      <c r="D2" s="202"/>
      <c r="E2" s="202"/>
      <c r="F2" s="202"/>
      <c r="G2" s="202"/>
      <c r="H2" s="202"/>
      <c r="I2" s="202"/>
      <c r="J2" s="421"/>
      <c r="K2" s="421"/>
      <c r="L2" s="421"/>
      <c r="M2" s="421"/>
    </row>
    <row r="3" spans="1:14" ht="12" customHeight="1">
      <c r="B3" s="203"/>
      <c r="F3" s="204"/>
      <c r="H3" s="204" t="s">
        <v>100</v>
      </c>
      <c r="I3" s="204"/>
      <c r="J3" s="204"/>
      <c r="K3" s="205" t="s">
        <v>101</v>
      </c>
      <c r="L3" s="206"/>
      <c r="M3" s="207"/>
      <c r="N3" s="82"/>
    </row>
    <row r="4" spans="1:14" ht="12" customHeight="1">
      <c r="A4" t="s">
        <v>102</v>
      </c>
      <c r="D4" s="537"/>
      <c r="F4" s="208"/>
      <c r="G4" s="209" t="s">
        <v>103</v>
      </c>
      <c r="H4" s="204" t="s">
        <v>104</v>
      </c>
      <c r="J4" s="208"/>
      <c r="K4" s="204" t="s">
        <v>105</v>
      </c>
      <c r="L4" s="204" t="s">
        <v>106</v>
      </c>
      <c r="M4" s="107" t="s">
        <v>107</v>
      </c>
      <c r="N4" s="82"/>
    </row>
    <row r="5" spans="1:14" ht="12" customHeight="1">
      <c r="D5" s="537"/>
      <c r="F5" s="204" t="s">
        <v>108</v>
      </c>
      <c r="G5" s="209" t="s">
        <v>109</v>
      </c>
      <c r="H5" s="204" t="s">
        <v>110</v>
      </c>
      <c r="I5" s="204" t="s">
        <v>111</v>
      </c>
      <c r="J5" s="204" t="s">
        <v>112</v>
      </c>
      <c r="K5" s="204" t="s">
        <v>113</v>
      </c>
      <c r="L5" s="204" t="s">
        <v>113</v>
      </c>
      <c r="M5" s="107" t="s">
        <v>114</v>
      </c>
      <c r="N5" s="82"/>
    </row>
    <row r="6" spans="1:14" ht="12" customHeight="1">
      <c r="A6" s="210" t="s">
        <v>115</v>
      </c>
      <c r="B6" s="421"/>
      <c r="C6" s="421"/>
      <c r="D6" s="421"/>
      <c r="E6" s="421"/>
      <c r="F6" s="211">
        <v>6100</v>
      </c>
      <c r="G6" s="211">
        <v>6200</v>
      </c>
      <c r="H6" s="211">
        <v>6500</v>
      </c>
      <c r="I6" s="211">
        <v>6600</v>
      </c>
      <c r="J6" s="211">
        <v>6800</v>
      </c>
      <c r="K6" s="204">
        <v>2024</v>
      </c>
      <c r="L6" s="107">
        <v>2025</v>
      </c>
      <c r="M6" s="107" t="s">
        <v>116</v>
      </c>
      <c r="N6" s="82"/>
    </row>
    <row r="7" spans="1:14" ht="12" customHeight="1">
      <c r="A7" t="s">
        <v>117</v>
      </c>
      <c r="F7" s="212"/>
      <c r="G7" s="212"/>
      <c r="H7" s="212"/>
      <c r="I7" s="212"/>
      <c r="J7" s="213"/>
      <c r="K7" s="214"/>
      <c r="L7" s="214"/>
      <c r="M7" s="215"/>
    </row>
    <row r="8" spans="1:14" ht="12" customHeight="1">
      <c r="B8" t="s">
        <v>118</v>
      </c>
      <c r="E8" s="407">
        <v>1</v>
      </c>
      <c r="F8" s="4">
        <v>865690</v>
      </c>
      <c r="G8" s="4">
        <v>136811</v>
      </c>
      <c r="H8" s="4">
        <v>174500</v>
      </c>
      <c r="I8" s="4">
        <v>40255</v>
      </c>
      <c r="J8" s="19">
        <v>1000</v>
      </c>
      <c r="K8" s="218">
        <f>[1]!SP1000P100F1000</f>
        <v>1240581</v>
      </c>
      <c r="L8" s="218">
        <f>SUM(F8:J8)</f>
        <v>1218256</v>
      </c>
      <c r="M8" s="219">
        <f>IF(K8=0," ",(L8-K8)/K8)</f>
        <v>-1.7999999999999999E-2</v>
      </c>
      <c r="N8" s="220">
        <v>1</v>
      </c>
    </row>
    <row r="9" spans="1:14" ht="12" customHeight="1">
      <c r="B9" t="s">
        <v>119</v>
      </c>
      <c r="E9" s="407"/>
      <c r="F9" s="212"/>
      <c r="G9" s="212"/>
      <c r="H9" s="212"/>
      <c r="I9" s="212"/>
      <c r="J9" s="213"/>
      <c r="K9" s="215"/>
      <c r="L9" s="215"/>
      <c r="M9" s="215"/>
      <c r="N9" s="220"/>
    </row>
    <row r="10" spans="1:14" ht="12" customHeight="1">
      <c r="B10" t="s">
        <v>120</v>
      </c>
      <c r="E10" s="407">
        <v>2</v>
      </c>
      <c r="F10" s="4">
        <v>6000</v>
      </c>
      <c r="G10" s="4">
        <v>907</v>
      </c>
      <c r="H10" s="4">
        <v>31800</v>
      </c>
      <c r="I10" s="4">
        <v>15250</v>
      </c>
      <c r="J10" s="19">
        <v>400</v>
      </c>
      <c r="K10" s="216">
        <f>[1]!SP1000P100F2100</f>
        <v>159327</v>
      </c>
      <c r="L10" s="216">
        <f>SUM(F10:J10)</f>
        <v>54357</v>
      </c>
      <c r="M10" s="221">
        <f>IF(K10=0," ",(L10-K10)/K10)</f>
        <v>-0.65900000000000003</v>
      </c>
      <c r="N10" s="220">
        <v>2</v>
      </c>
    </row>
    <row r="11" spans="1:14" ht="12" customHeight="1">
      <c r="B11" t="s">
        <v>121</v>
      </c>
      <c r="E11" s="407">
        <v>3</v>
      </c>
      <c r="F11" s="4">
        <v>44565</v>
      </c>
      <c r="G11" s="4">
        <v>7732</v>
      </c>
      <c r="H11" s="4">
        <v>34400</v>
      </c>
      <c r="I11" s="4">
        <v>7960</v>
      </c>
      <c r="J11" s="4"/>
      <c r="K11" s="216">
        <f>[1]!SP1000P100F2200</f>
        <v>93022</v>
      </c>
      <c r="L11" s="216">
        <f t="shared" ref="L11:L23" si="0">SUM(F11:J11)</f>
        <v>94657</v>
      </c>
      <c r="M11" s="221">
        <f t="shared" ref="M11:M23" si="1">IF(K11=0," ",(L11-K11)/K11)</f>
        <v>1.7999999999999999E-2</v>
      </c>
      <c r="N11" s="222">
        <v>3</v>
      </c>
    </row>
    <row r="12" spans="1:14" ht="12" customHeight="1">
      <c r="B12" t="s">
        <v>122</v>
      </c>
      <c r="E12" s="407">
        <v>4</v>
      </c>
      <c r="F12" s="4"/>
      <c r="G12" s="4"/>
      <c r="H12" s="4"/>
      <c r="I12" s="4"/>
      <c r="J12" s="4"/>
      <c r="K12" s="223">
        <f>[1]!SP1000P100F2300</f>
        <v>4000</v>
      </c>
      <c r="L12" s="216">
        <f t="shared" si="0"/>
        <v>0</v>
      </c>
      <c r="M12" s="221">
        <f t="shared" si="1"/>
        <v>-1</v>
      </c>
      <c r="N12" s="222">
        <v>4</v>
      </c>
    </row>
    <row r="13" spans="1:14" ht="12" customHeight="1">
      <c r="B13" t="s">
        <v>123</v>
      </c>
      <c r="E13" s="407">
        <v>5</v>
      </c>
      <c r="F13" s="4">
        <v>253364</v>
      </c>
      <c r="G13" s="4">
        <v>34559</v>
      </c>
      <c r="H13" s="4">
        <v>290094</v>
      </c>
      <c r="I13" s="4">
        <v>111050</v>
      </c>
      <c r="J13" s="4">
        <v>15750</v>
      </c>
      <c r="K13" s="223">
        <f>[1]!SP1000P100F2400</f>
        <v>913734</v>
      </c>
      <c r="L13" s="216">
        <f t="shared" si="0"/>
        <v>704817</v>
      </c>
      <c r="M13" s="221">
        <f t="shared" si="1"/>
        <v>-0.22900000000000001</v>
      </c>
      <c r="N13" s="222">
        <v>5</v>
      </c>
    </row>
    <row r="14" spans="1:14" ht="12" customHeight="1">
      <c r="B14" t="s">
        <v>124</v>
      </c>
      <c r="E14" s="407">
        <v>6</v>
      </c>
      <c r="F14" s="4"/>
      <c r="G14" s="4"/>
      <c r="H14" s="4">
        <v>249300</v>
      </c>
      <c r="I14" s="4">
        <v>2500</v>
      </c>
      <c r="J14" s="4">
        <v>115000</v>
      </c>
      <c r="K14" s="223">
        <f>[1]!SP1000P100F2500</f>
        <v>348655</v>
      </c>
      <c r="L14" s="216">
        <f>SUM(F14:J14)</f>
        <v>366800</v>
      </c>
      <c r="M14" s="221">
        <f t="shared" si="1"/>
        <v>5.1999999999999998E-2</v>
      </c>
      <c r="N14" s="222">
        <v>6</v>
      </c>
    </row>
    <row r="15" spans="1:14" ht="12" customHeight="1">
      <c r="B15" t="s">
        <v>125</v>
      </c>
      <c r="E15" s="407">
        <v>7</v>
      </c>
      <c r="F15" s="4">
        <v>51904</v>
      </c>
      <c r="G15" s="4">
        <v>5227</v>
      </c>
      <c r="H15" s="4">
        <v>1104932</v>
      </c>
      <c r="I15" s="4">
        <v>54230</v>
      </c>
      <c r="J15" s="4"/>
      <c r="K15" s="223">
        <f>[1]!SP1000P100F2600</f>
        <v>1284399</v>
      </c>
      <c r="L15" s="216">
        <f t="shared" si="0"/>
        <v>1216293</v>
      </c>
      <c r="M15" s="221">
        <f t="shared" si="1"/>
        <v>-5.2999999999999999E-2</v>
      </c>
      <c r="N15" s="222">
        <v>7</v>
      </c>
    </row>
    <row r="16" spans="1:14" ht="12" customHeight="1">
      <c r="B16" t="s">
        <v>126</v>
      </c>
      <c r="E16" s="407">
        <v>8</v>
      </c>
      <c r="F16" s="4"/>
      <c r="G16" s="4"/>
      <c r="H16" s="4"/>
      <c r="I16" s="4"/>
      <c r="J16" s="4"/>
      <c r="K16" s="223">
        <f>[1]!SP1000P100F2900</f>
        <v>0</v>
      </c>
      <c r="L16" s="216">
        <f t="shared" si="0"/>
        <v>0</v>
      </c>
      <c r="M16" s="221" t="str">
        <f t="shared" si="1"/>
        <v xml:space="preserve"> </v>
      </c>
      <c r="N16" s="222">
        <v>8</v>
      </c>
    </row>
    <row r="17" spans="1:14" ht="12" customHeight="1">
      <c r="B17" t="s">
        <v>127</v>
      </c>
      <c r="E17" s="407">
        <v>9</v>
      </c>
      <c r="F17" s="4">
        <v>35000</v>
      </c>
      <c r="G17" s="4">
        <v>2730</v>
      </c>
      <c r="H17" s="4">
        <v>321760</v>
      </c>
      <c r="I17" s="4">
        <v>96</v>
      </c>
      <c r="J17" s="4">
        <v>2300</v>
      </c>
      <c r="K17" s="223">
        <f>[1]!SP1000P100F3000</f>
        <v>286544</v>
      </c>
      <c r="L17" s="216">
        <f t="shared" si="0"/>
        <v>361886</v>
      </c>
      <c r="M17" s="221">
        <f t="shared" si="1"/>
        <v>0.26300000000000001</v>
      </c>
      <c r="N17" s="222">
        <v>9</v>
      </c>
    </row>
    <row r="18" spans="1:14" ht="12" customHeight="1">
      <c r="B18" t="s">
        <v>128</v>
      </c>
      <c r="E18" s="407">
        <v>10</v>
      </c>
      <c r="F18" s="4"/>
      <c r="G18" s="4"/>
      <c r="H18" s="4"/>
      <c r="I18" s="4"/>
      <c r="J18" s="4"/>
      <c r="K18" s="223">
        <f>[1]!SP1000P100F4000</f>
        <v>0</v>
      </c>
      <c r="L18" s="216">
        <f t="shared" si="0"/>
        <v>0</v>
      </c>
      <c r="M18" s="221" t="str">
        <f t="shared" si="1"/>
        <v xml:space="preserve"> </v>
      </c>
      <c r="N18" s="222">
        <v>10</v>
      </c>
    </row>
    <row r="19" spans="1:14" ht="12" customHeight="1">
      <c r="B19" t="s">
        <v>129</v>
      </c>
      <c r="E19" s="224">
        <v>11</v>
      </c>
      <c r="F19" s="13"/>
      <c r="G19" s="4"/>
      <c r="H19" s="4"/>
      <c r="I19" s="4"/>
      <c r="J19" s="4"/>
      <c r="K19" s="223">
        <f>[1]!SP1000P100F5000</f>
        <v>0</v>
      </c>
      <c r="L19" s="216">
        <f t="shared" si="0"/>
        <v>0</v>
      </c>
      <c r="M19" s="221" t="str">
        <f t="shared" si="1"/>
        <v xml:space="preserve"> </v>
      </c>
      <c r="N19" s="222">
        <v>11</v>
      </c>
    </row>
    <row r="20" spans="1:14" ht="12" customHeight="1">
      <c r="A20" t="s">
        <v>130</v>
      </c>
      <c r="E20" s="224">
        <v>12</v>
      </c>
      <c r="F20" s="13"/>
      <c r="G20" s="4"/>
      <c r="H20" s="4"/>
      <c r="I20" s="4"/>
      <c r="J20" s="4"/>
      <c r="K20" s="216">
        <f>[1]!SP1000P610</f>
        <v>0</v>
      </c>
      <c r="L20" s="216">
        <f t="shared" si="0"/>
        <v>0</v>
      </c>
      <c r="M20" s="221" t="str">
        <f t="shared" si="1"/>
        <v xml:space="preserve"> </v>
      </c>
      <c r="N20" s="222">
        <v>12</v>
      </c>
    </row>
    <row r="21" spans="1:14" ht="12" customHeight="1">
      <c r="A21" t="s">
        <v>131</v>
      </c>
      <c r="E21" s="224">
        <v>13</v>
      </c>
      <c r="F21" s="13"/>
      <c r="G21" s="4"/>
      <c r="H21" s="4"/>
      <c r="I21" s="4"/>
      <c r="J21" s="4"/>
      <c r="K21" s="216">
        <f>[1]!SP1000P620</f>
        <v>0</v>
      </c>
      <c r="L21" s="216">
        <f>SUM(F21:J21)</f>
        <v>0</v>
      </c>
      <c r="M21" s="221" t="str">
        <f t="shared" si="1"/>
        <v xml:space="preserve"> </v>
      </c>
      <c r="N21" s="222">
        <v>13</v>
      </c>
    </row>
    <row r="22" spans="1:14" ht="12" customHeight="1">
      <c r="A22" t="s">
        <v>132</v>
      </c>
      <c r="E22" s="224">
        <v>14</v>
      </c>
      <c r="F22" s="13">
        <v>32830</v>
      </c>
      <c r="G22" s="4">
        <v>2567</v>
      </c>
      <c r="H22" s="4">
        <f>925+3533+4000</f>
        <v>8458</v>
      </c>
      <c r="I22" s="4"/>
      <c r="J22" s="4"/>
      <c r="K22" s="216">
        <f>[1]!SP1000P630700800900</f>
        <v>71424</v>
      </c>
      <c r="L22" s="216">
        <f t="shared" si="0"/>
        <v>43855</v>
      </c>
      <c r="M22" s="221">
        <f t="shared" si="1"/>
        <v>-0.38600000000000001</v>
      </c>
      <c r="N22" s="222">
        <v>14</v>
      </c>
    </row>
    <row r="23" spans="1:14" ht="12" customHeight="1">
      <c r="A23" s="421"/>
      <c r="B23" s="421" t="s">
        <v>133</v>
      </c>
      <c r="C23" s="421"/>
      <c r="D23" s="421"/>
      <c r="E23" s="225">
        <v>15</v>
      </c>
      <c r="F23" s="216">
        <f>SUM(F7:F22)</f>
        <v>1289353</v>
      </c>
      <c r="G23" s="216">
        <f>SUM(G7:G22)</f>
        <v>190533</v>
      </c>
      <c r="H23" s="216">
        <f>SUM(H7:H22)</f>
        <v>2215244</v>
      </c>
      <c r="I23" s="216">
        <f>SUM(I7:I22)</f>
        <v>231341</v>
      </c>
      <c r="J23" s="216">
        <f>SUM(J7:J22)</f>
        <v>134450</v>
      </c>
      <c r="K23" s="226">
        <f>SUM(K8:K22)</f>
        <v>4401686</v>
      </c>
      <c r="L23" s="226">
        <f t="shared" si="0"/>
        <v>4060921</v>
      </c>
      <c r="M23" s="221">
        <f t="shared" si="1"/>
        <v>-7.6999999999999999E-2</v>
      </c>
      <c r="N23" s="222">
        <v>15</v>
      </c>
    </row>
    <row r="24" spans="1:14" ht="12" customHeight="1">
      <c r="A24" t="s">
        <v>134</v>
      </c>
      <c r="E24" s="407"/>
      <c r="F24" s="212"/>
      <c r="G24" s="212"/>
      <c r="H24" s="212"/>
      <c r="I24" s="212"/>
      <c r="J24" s="213"/>
      <c r="K24" s="215"/>
      <c r="L24" s="215"/>
      <c r="M24" s="215"/>
      <c r="N24" s="222"/>
    </row>
    <row r="25" spans="1:14" ht="12" customHeight="1">
      <c r="B25" t="s">
        <v>118</v>
      </c>
      <c r="E25" s="407">
        <v>16</v>
      </c>
      <c r="F25" s="4">
        <v>87152</v>
      </c>
      <c r="G25" s="4">
        <v>15879</v>
      </c>
      <c r="H25" s="4">
        <v>49800</v>
      </c>
      <c r="I25" s="4">
        <v>2500</v>
      </c>
      <c r="J25" s="19"/>
      <c r="K25" s="216">
        <f>[1]!SP1000P200F1000</f>
        <v>122712</v>
      </c>
      <c r="L25" s="216">
        <f>SUM(F25:J25)</f>
        <v>155331</v>
      </c>
      <c r="M25" s="227">
        <f>IF(K25=0," ",(L25-K25)/K25)</f>
        <v>0.26600000000000001</v>
      </c>
      <c r="N25" s="222">
        <v>16</v>
      </c>
    </row>
    <row r="26" spans="1:14" ht="12" customHeight="1">
      <c r="B26" t="s">
        <v>119</v>
      </c>
      <c r="E26" s="407"/>
      <c r="F26" s="212"/>
      <c r="G26" s="212"/>
      <c r="H26" s="212"/>
      <c r="I26" s="212"/>
      <c r="J26" s="213"/>
      <c r="K26" s="215"/>
      <c r="L26" s="215"/>
      <c r="M26" s="215"/>
      <c r="N26" s="222"/>
    </row>
    <row r="27" spans="1:14" ht="12" customHeight="1">
      <c r="B27" t="s">
        <v>120</v>
      </c>
      <c r="E27" s="224">
        <v>17</v>
      </c>
      <c r="F27" s="4">
        <v>60525</v>
      </c>
      <c r="G27" s="4">
        <v>13800</v>
      </c>
      <c r="H27" s="4">
        <v>2900</v>
      </c>
      <c r="I27" s="4">
        <v>370</v>
      </c>
      <c r="J27" s="19"/>
      <c r="K27" s="216">
        <f>[1]!SP1000P200F2100</f>
        <v>226241</v>
      </c>
      <c r="L27" s="216">
        <f>SUM(F27:J27)</f>
        <v>77595</v>
      </c>
      <c r="M27" s="227">
        <f>IF(K27=0," ",(L27-K27)/K27)</f>
        <v>-0.65700000000000003</v>
      </c>
      <c r="N27" s="222">
        <v>17</v>
      </c>
    </row>
    <row r="28" spans="1:14" ht="12" customHeight="1">
      <c r="B28" t="s">
        <v>121</v>
      </c>
      <c r="E28" s="224">
        <v>18</v>
      </c>
      <c r="F28" s="4">
        <v>39000</v>
      </c>
      <c r="G28" s="4">
        <v>7496</v>
      </c>
      <c r="H28" s="4">
        <v>45000</v>
      </c>
      <c r="I28" s="4"/>
      <c r="J28" s="4"/>
      <c r="K28" s="216">
        <f>[1]!SP1000P200F2200</f>
        <v>34483</v>
      </c>
      <c r="L28" s="216">
        <f t="shared" ref="L28:L42" si="2">SUM(F28:J28)</f>
        <v>91496</v>
      </c>
      <c r="M28" s="228">
        <f t="shared" ref="M28:M48" si="3">IF(K28=0," ",(L28-K28)/K28)</f>
        <v>1.653</v>
      </c>
      <c r="N28" s="222">
        <v>18</v>
      </c>
    </row>
    <row r="29" spans="1:14" ht="12" customHeight="1">
      <c r="B29" t="s">
        <v>122</v>
      </c>
      <c r="E29" s="224">
        <v>19</v>
      </c>
      <c r="F29" s="4"/>
      <c r="G29" s="4"/>
      <c r="H29" s="4"/>
      <c r="I29" s="4"/>
      <c r="J29" s="4"/>
      <c r="K29" s="223">
        <f>[1]!SP1000P200F2300</f>
        <v>0</v>
      </c>
      <c r="L29" s="216">
        <f t="shared" si="2"/>
        <v>0</v>
      </c>
      <c r="M29" s="221" t="str">
        <f t="shared" si="3"/>
        <v xml:space="preserve"> </v>
      </c>
      <c r="N29" s="222">
        <v>19</v>
      </c>
    </row>
    <row r="30" spans="1:14" ht="12" customHeight="1">
      <c r="B30" t="s">
        <v>123</v>
      </c>
      <c r="E30" s="224">
        <v>20</v>
      </c>
      <c r="F30" s="4">
        <v>49500</v>
      </c>
      <c r="G30" s="4">
        <v>9514</v>
      </c>
      <c r="H30" s="4"/>
      <c r="I30" s="4"/>
      <c r="J30" s="4"/>
      <c r="K30" s="223">
        <f>[1]!SP1000P200F2400</f>
        <v>0</v>
      </c>
      <c r="L30" s="216">
        <f t="shared" si="2"/>
        <v>59014</v>
      </c>
      <c r="M30" s="221" t="str">
        <f t="shared" si="3"/>
        <v xml:space="preserve"> </v>
      </c>
      <c r="N30" s="222">
        <v>20</v>
      </c>
    </row>
    <row r="31" spans="1:14" ht="12" customHeight="1">
      <c r="B31" t="s">
        <v>124</v>
      </c>
      <c r="E31" s="224">
        <v>21</v>
      </c>
      <c r="F31" s="4"/>
      <c r="G31" s="4"/>
      <c r="H31" s="4"/>
      <c r="I31" s="4"/>
      <c r="J31" s="4"/>
      <c r="K31" s="223">
        <f>[1]!SP1000P200F2500</f>
        <v>0</v>
      </c>
      <c r="L31" s="216">
        <f>SUM(F31:J31)</f>
        <v>0</v>
      </c>
      <c r="M31" s="221" t="str">
        <f t="shared" si="3"/>
        <v xml:space="preserve"> </v>
      </c>
      <c r="N31" s="222">
        <v>21</v>
      </c>
    </row>
    <row r="32" spans="1:14" ht="12" customHeight="1">
      <c r="B32" t="s">
        <v>125</v>
      </c>
      <c r="E32" s="224">
        <v>22</v>
      </c>
      <c r="F32" s="4"/>
      <c r="G32" s="4"/>
      <c r="H32" s="4"/>
      <c r="I32" s="4"/>
      <c r="J32" s="4"/>
      <c r="K32" s="223">
        <f>[1]!SP1000P200F2600</f>
        <v>0</v>
      </c>
      <c r="L32" s="216">
        <f t="shared" si="2"/>
        <v>0</v>
      </c>
      <c r="M32" s="221" t="str">
        <f t="shared" si="3"/>
        <v xml:space="preserve"> </v>
      </c>
      <c r="N32" s="222">
        <v>22</v>
      </c>
    </row>
    <row r="33" spans="1:18" ht="12" customHeight="1">
      <c r="B33" t="s">
        <v>126</v>
      </c>
      <c r="E33" s="224">
        <v>23</v>
      </c>
      <c r="F33" s="4"/>
      <c r="G33" s="4"/>
      <c r="H33" s="4"/>
      <c r="I33" s="4"/>
      <c r="J33" s="4"/>
      <c r="K33" s="223">
        <f>[1]!SP1000P200F2900</f>
        <v>0</v>
      </c>
      <c r="L33" s="216">
        <f t="shared" si="2"/>
        <v>0</v>
      </c>
      <c r="M33" s="221" t="str">
        <f t="shared" si="3"/>
        <v xml:space="preserve"> </v>
      </c>
      <c r="N33" s="222">
        <v>23</v>
      </c>
    </row>
    <row r="34" spans="1:18" ht="12" customHeight="1">
      <c r="B34" t="s">
        <v>127</v>
      </c>
      <c r="E34" s="224">
        <v>24</v>
      </c>
      <c r="F34" s="4"/>
      <c r="G34" s="4"/>
      <c r="H34" s="4"/>
      <c r="I34" s="4"/>
      <c r="J34" s="4"/>
      <c r="K34" s="223">
        <f>[1]!SP1000P200F3000</f>
        <v>0</v>
      </c>
      <c r="L34" s="216">
        <f t="shared" si="2"/>
        <v>0</v>
      </c>
      <c r="M34" s="221" t="str">
        <f t="shared" si="3"/>
        <v xml:space="preserve"> </v>
      </c>
      <c r="N34" s="222">
        <v>24</v>
      </c>
      <c r="R34" s="203"/>
    </row>
    <row r="35" spans="1:18" ht="12" customHeight="1">
      <c r="B35" t="s">
        <v>128</v>
      </c>
      <c r="E35" s="224">
        <v>25</v>
      </c>
      <c r="F35" s="4"/>
      <c r="G35" s="4"/>
      <c r="H35" s="4"/>
      <c r="I35" s="4"/>
      <c r="J35" s="4"/>
      <c r="K35" s="223">
        <f>[1]!SP1000P200F4000</f>
        <v>0</v>
      </c>
      <c r="L35" s="216">
        <f t="shared" si="2"/>
        <v>0</v>
      </c>
      <c r="M35" s="221" t="str">
        <f t="shared" si="3"/>
        <v xml:space="preserve"> </v>
      </c>
      <c r="N35" s="222">
        <v>25</v>
      </c>
    </row>
    <row r="36" spans="1:18" ht="12" customHeight="1">
      <c r="B36" t="s">
        <v>129</v>
      </c>
      <c r="E36" s="407">
        <v>26</v>
      </c>
      <c r="F36" s="4"/>
      <c r="G36" s="4"/>
      <c r="H36" s="4"/>
      <c r="I36" s="4"/>
      <c r="J36" s="4"/>
      <c r="K36" s="223">
        <f>[1]!SP1000P200F5000</f>
        <v>0</v>
      </c>
      <c r="L36" s="216">
        <f t="shared" si="2"/>
        <v>0</v>
      </c>
      <c r="M36" s="221" t="str">
        <f t="shared" si="3"/>
        <v xml:space="preserve"> </v>
      </c>
      <c r="N36" s="222">
        <v>26</v>
      </c>
    </row>
    <row r="37" spans="1:18" ht="12" customHeight="1">
      <c r="A37" s="421"/>
      <c r="B37" s="421" t="s">
        <v>135</v>
      </c>
      <c r="C37" s="421"/>
      <c r="D37" s="421"/>
      <c r="E37" s="225">
        <v>27</v>
      </c>
      <c r="F37" s="223">
        <f>SUM(F24:F36)</f>
        <v>236177</v>
      </c>
      <c r="G37" s="223">
        <f>SUM(G24:G36)</f>
        <v>46689</v>
      </c>
      <c r="H37" s="223">
        <f>SUM(H24:H36)</f>
        <v>97700</v>
      </c>
      <c r="I37" s="223">
        <f>SUM(I24:I36)</f>
        <v>2870</v>
      </c>
      <c r="J37" s="223">
        <f>SUM(J24:J36)</f>
        <v>0</v>
      </c>
      <c r="K37" s="223">
        <f>SUM(K25:K36)</f>
        <v>383436</v>
      </c>
      <c r="L37" s="223">
        <f t="shared" si="2"/>
        <v>383436</v>
      </c>
      <c r="M37" s="228">
        <f t="shared" si="3"/>
        <v>0</v>
      </c>
      <c r="N37" s="222">
        <v>27</v>
      </c>
    </row>
    <row r="38" spans="1:18" ht="0.75" customHeight="1">
      <c r="A38" t="s">
        <v>136</v>
      </c>
      <c r="E38" s="407">
        <v>28</v>
      </c>
      <c r="F38" s="229"/>
      <c r="G38" s="229"/>
      <c r="H38" s="229"/>
      <c r="I38" s="229"/>
      <c r="J38" s="229"/>
      <c r="K38" s="229"/>
      <c r="L38" s="229"/>
      <c r="M38" s="230"/>
      <c r="N38" s="220">
        <v>28</v>
      </c>
    </row>
    <row r="39" spans="1:18" ht="12" customHeight="1">
      <c r="A39" s="421" t="s">
        <v>137</v>
      </c>
      <c r="B39" s="421"/>
      <c r="C39" s="421"/>
      <c r="D39" s="421"/>
      <c r="E39" s="225">
        <v>28</v>
      </c>
      <c r="F39" s="4"/>
      <c r="G39" s="4"/>
      <c r="H39" s="4"/>
      <c r="I39" s="4"/>
      <c r="J39" s="4">
        <v>8220</v>
      </c>
      <c r="K39" s="216">
        <f>[1]!SP1000P400</f>
        <v>8500</v>
      </c>
      <c r="L39" s="216">
        <f t="shared" si="2"/>
        <v>8220</v>
      </c>
      <c r="M39" s="221">
        <f t="shared" si="3"/>
        <v>-3.3000000000000002E-2</v>
      </c>
      <c r="N39" s="222">
        <v>28</v>
      </c>
    </row>
    <row r="40" spans="1:18" ht="12" customHeight="1">
      <c r="A40" s="421" t="s">
        <v>138</v>
      </c>
      <c r="B40" s="421"/>
      <c r="C40" s="421"/>
      <c r="D40" s="421"/>
      <c r="E40" s="231">
        <v>29</v>
      </c>
      <c r="F40" s="4"/>
      <c r="G40" s="4"/>
      <c r="H40" s="4"/>
      <c r="I40" s="4"/>
      <c r="J40" s="4"/>
      <c r="K40" s="223">
        <f>[1]!SP1000P530</f>
        <v>0</v>
      </c>
      <c r="L40" s="216">
        <f>SUM(F40:J40)</f>
        <v>0</v>
      </c>
      <c r="M40" s="221" t="str">
        <f t="shared" si="3"/>
        <v xml:space="preserve"> </v>
      </c>
      <c r="N40" s="222">
        <v>29</v>
      </c>
    </row>
    <row r="41" spans="1:18" ht="12" customHeight="1">
      <c r="A41" s="421" t="s">
        <v>139</v>
      </c>
      <c r="B41" s="421"/>
      <c r="C41" s="421"/>
      <c r="D41" s="421"/>
      <c r="E41" s="231">
        <v>30</v>
      </c>
      <c r="F41" s="4"/>
      <c r="G41" s="4"/>
      <c r="H41" s="4"/>
      <c r="I41" s="4"/>
      <c r="J41" s="4"/>
      <c r="K41" s="223">
        <f>[1]!SP1000P540</f>
        <v>0</v>
      </c>
      <c r="L41" s="216">
        <f t="shared" si="2"/>
        <v>0</v>
      </c>
      <c r="M41" s="221" t="str">
        <f t="shared" si="3"/>
        <v xml:space="preserve"> </v>
      </c>
      <c r="N41" s="222">
        <v>30</v>
      </c>
    </row>
    <row r="42" spans="1:18" ht="12" customHeight="1">
      <c r="A42" s="232" t="s">
        <v>140</v>
      </c>
      <c r="B42" s="233"/>
      <c r="C42" s="233"/>
      <c r="D42" s="233"/>
      <c r="E42" s="231">
        <v>31</v>
      </c>
      <c r="F42" s="4">
        <v>38000</v>
      </c>
      <c r="G42" s="4">
        <v>7463</v>
      </c>
      <c r="H42" s="4"/>
      <c r="I42" s="4"/>
      <c r="J42" s="4"/>
      <c r="K42" s="223">
        <f>[1]!SP1000P550</f>
        <v>49504</v>
      </c>
      <c r="L42" s="216">
        <f t="shared" si="2"/>
        <v>45463</v>
      </c>
      <c r="M42" s="221">
        <f t="shared" si="3"/>
        <v>-8.2000000000000003E-2</v>
      </c>
      <c r="N42" s="222">
        <v>31</v>
      </c>
    </row>
    <row r="43" spans="1:18" ht="12" customHeight="1">
      <c r="A43" s="421"/>
      <c r="B43" s="421" t="s">
        <v>141</v>
      </c>
      <c r="C43" s="421"/>
      <c r="D43" s="421"/>
      <c r="E43" s="231">
        <v>32</v>
      </c>
      <c r="F43" s="216">
        <f t="shared" ref="F43:K43" si="4">SUM(F37:F42)+F23</f>
        <v>1563530</v>
      </c>
      <c r="G43" s="216">
        <f t="shared" si="4"/>
        <v>244685</v>
      </c>
      <c r="H43" s="216">
        <f t="shared" si="4"/>
        <v>2312944</v>
      </c>
      <c r="I43" s="216">
        <f t="shared" si="4"/>
        <v>234211</v>
      </c>
      <c r="J43" s="216">
        <f t="shared" si="4"/>
        <v>142670</v>
      </c>
      <c r="K43" s="216">
        <f t="shared" si="4"/>
        <v>4843126</v>
      </c>
      <c r="L43" s="216">
        <f>SUM(F43:J43)</f>
        <v>4498040</v>
      </c>
      <c r="M43" s="221">
        <f t="shared" si="3"/>
        <v>-7.0999999999999994E-2</v>
      </c>
      <c r="N43" s="222">
        <v>32</v>
      </c>
    </row>
    <row r="44" spans="1:18" ht="12" customHeight="1">
      <c r="A44" s="421" t="s">
        <v>551</v>
      </c>
      <c r="B44" s="421"/>
      <c r="C44" s="421"/>
      <c r="D44" s="421"/>
      <c r="E44" s="231">
        <v>33</v>
      </c>
      <c r="F44" s="216">
        <f>TotalCSP6100</f>
        <v>367579</v>
      </c>
      <c r="G44" s="216">
        <f>TotalCSP6200</f>
        <v>29112</v>
      </c>
      <c r="H44" s="216">
        <f>TotalCSP630064006500</f>
        <v>79600</v>
      </c>
      <c r="I44" s="216">
        <f>TotalCSP6600</f>
        <v>0</v>
      </c>
      <c r="J44" s="216">
        <f>'Page 3'!F18</f>
        <v>0</v>
      </c>
      <c r="K44" s="216">
        <f>[1]!SP1000ClassSiteProj</f>
        <v>255259</v>
      </c>
      <c r="L44" s="216">
        <f>SUM(F44:J44)</f>
        <v>476291</v>
      </c>
      <c r="M44" s="221">
        <f t="shared" si="3"/>
        <v>0.86599999999999999</v>
      </c>
      <c r="N44" s="222">
        <v>33</v>
      </c>
    </row>
    <row r="45" spans="1:18" ht="12" customHeight="1">
      <c r="A45" s="421" t="s">
        <v>142</v>
      </c>
      <c r="B45" s="421"/>
      <c r="C45" s="421"/>
      <c r="D45" s="421"/>
      <c r="E45" s="231">
        <v>34</v>
      </c>
      <c r="F45" s="234"/>
      <c r="G45" s="234"/>
      <c r="H45" s="234"/>
      <c r="I45" s="234"/>
      <c r="J45" s="234"/>
      <c r="K45" s="216">
        <f>[1]!SP1000InstrImpProj</f>
        <v>40286</v>
      </c>
      <c r="L45" s="216">
        <f>TotalInstructionalImprovement</f>
        <v>31988</v>
      </c>
      <c r="M45" s="221">
        <f t="shared" si="3"/>
        <v>-0.20599999999999999</v>
      </c>
      <c r="N45" s="222">
        <v>34</v>
      </c>
    </row>
    <row r="46" spans="1:18" ht="12" customHeight="1">
      <c r="A46" s="421" t="s">
        <v>143</v>
      </c>
      <c r="B46" s="421"/>
      <c r="C46" s="421"/>
      <c r="D46" s="421"/>
      <c r="E46" s="231">
        <v>35</v>
      </c>
      <c r="F46" s="216">
        <f>TotalSEIP6100</f>
        <v>0</v>
      </c>
      <c r="G46" s="216">
        <f>TotalSEIP6200</f>
        <v>0</v>
      </c>
      <c r="H46" s="216">
        <f>TotalSEIP630064006500</f>
        <v>0</v>
      </c>
      <c r="I46" s="216">
        <f>TotalSEIP6600</f>
        <v>0</v>
      </c>
      <c r="J46" s="216">
        <f>TotalSEIP6800</f>
        <v>0</v>
      </c>
      <c r="K46" s="216">
        <f>[1]!SP1000StruEngImmProj</f>
        <v>0</v>
      </c>
      <c r="L46" s="216">
        <f>TotalSEIP</f>
        <v>0</v>
      </c>
      <c r="M46" s="221" t="str">
        <f t="shared" si="3"/>
        <v xml:space="preserve"> </v>
      </c>
      <c r="N46" s="222">
        <v>35</v>
      </c>
    </row>
    <row r="47" spans="1:18" ht="12" customHeight="1">
      <c r="A47" s="421" t="s">
        <v>144</v>
      </c>
      <c r="B47" s="421"/>
      <c r="C47" s="421"/>
      <c r="D47" s="421"/>
      <c r="E47" s="231">
        <v>36</v>
      </c>
      <c r="F47" s="216">
        <f>TotalCIP6100</f>
        <v>0</v>
      </c>
      <c r="G47" s="216">
        <f>TotalCIP6200</f>
        <v>0</v>
      </c>
      <c r="H47" s="216">
        <f>TotalCIP630064006500</f>
        <v>0</v>
      </c>
      <c r="I47" s="216">
        <f>TotalCIP6600</f>
        <v>0</v>
      </c>
      <c r="J47" s="216">
        <f>TotalCIP6800</f>
        <v>0</v>
      </c>
      <c r="K47" s="223">
        <f>[1]!SP1000CompInstrProj</f>
        <v>0</v>
      </c>
      <c r="L47" s="216">
        <f>TotalCIP</f>
        <v>0</v>
      </c>
      <c r="M47" s="221" t="str">
        <f t="shared" si="3"/>
        <v xml:space="preserve"> </v>
      </c>
      <c r="N47" s="222">
        <v>36</v>
      </c>
    </row>
    <row r="48" spans="1:18" ht="12" customHeight="1">
      <c r="A48" s="232" t="s">
        <v>145</v>
      </c>
      <c r="B48" s="233"/>
      <c r="C48" s="233"/>
      <c r="D48" s="233"/>
      <c r="E48" s="231">
        <v>37</v>
      </c>
      <c r="F48" s="234"/>
      <c r="G48" s="234"/>
      <c r="H48" s="234"/>
      <c r="I48" s="234"/>
      <c r="J48" s="234"/>
      <c r="K48" s="223">
        <f>[1]!SP1000FedStProj</f>
        <v>723687</v>
      </c>
      <c r="L48" s="216">
        <f>FederalandStateProjectsTotal</f>
        <v>421017</v>
      </c>
      <c r="M48" s="221">
        <f t="shared" si="3"/>
        <v>-0.41799999999999998</v>
      </c>
      <c r="N48" s="222">
        <v>37</v>
      </c>
    </row>
    <row r="49" spans="1:14" ht="12" customHeight="1">
      <c r="A49" s="235"/>
      <c r="B49" s="421" t="s">
        <v>146</v>
      </c>
      <c r="C49" s="421"/>
      <c r="D49" s="421"/>
      <c r="E49" s="231">
        <v>38</v>
      </c>
      <c r="F49" s="236">
        <f>SUM(F43+F44+F46+F47)</f>
        <v>1931109</v>
      </c>
      <c r="G49" s="236">
        <f>SUM(G43+G44+G46+G47)</f>
        <v>273797</v>
      </c>
      <c r="H49" s="236">
        <f>SUM(H43+H44+H46+H47)</f>
        <v>2392544</v>
      </c>
      <c r="I49" s="236">
        <f>SUM(I43+I44+I46+I47)</f>
        <v>234211</v>
      </c>
      <c r="J49" s="236">
        <f>SUM(J43+J44+J46+J47)</f>
        <v>142670</v>
      </c>
      <c r="K49" s="237">
        <f>SUM(K43:K48)</f>
        <v>5862358</v>
      </c>
      <c r="L49" s="237">
        <f>SUM(L43:L48)</f>
        <v>5427336</v>
      </c>
      <c r="M49" s="221">
        <f>IF(K49=0," ",(L49-K49)/K49)</f>
        <v>-7.3999999999999996E-2</v>
      </c>
      <c r="N49" s="22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4"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M16" sqref="M16"/>
    </sheetView>
  </sheetViews>
  <sheetFormatPr defaultColWidth="9.42578125" defaultRowHeight="12.75" customHeight="1"/>
  <cols>
    <col min="1" max="1" width="3.5703125" customWidth="1"/>
    <col min="2" max="2" width="14.5703125" customWidth="1"/>
    <col min="3" max="3" width="35" customWidth="1"/>
    <col min="4" max="5" width="12.42578125" customWidth="1"/>
    <col min="6" max="6" width="3.5703125" customWidth="1"/>
    <col min="7" max="7" width="5.42578125" customWidth="1"/>
    <col min="8" max="8" width="27.42578125" customWidth="1"/>
    <col min="9" max="9" width="6.5703125" customWidth="1"/>
    <col min="10" max="10" width="6.42578125" customWidth="1"/>
    <col min="11" max="11" width="5.42578125" customWidth="1"/>
    <col min="12" max="12" width="7" customWidth="1"/>
    <col min="13" max="14" width="12.42578125" customWidth="1"/>
    <col min="15" max="15" width="3.5703125" customWidth="1"/>
    <col min="16" max="16" width="7.5703125" customWidth="1"/>
  </cols>
  <sheetData>
    <row r="1" spans="1:19" ht="13.5" customHeight="1">
      <c r="A1" t="s">
        <v>0</v>
      </c>
      <c r="C1" s="535" t="str">
        <f>CharterName</f>
        <v>Tucson International Academy</v>
      </c>
      <c r="D1" s="535"/>
      <c r="E1" s="535"/>
      <c r="F1" s="535"/>
      <c r="H1" s="425" t="s">
        <v>1</v>
      </c>
      <c r="I1" s="536" t="str">
        <f>Cover!M1</f>
        <v>Pima</v>
      </c>
      <c r="J1" s="517"/>
      <c r="K1" s="517"/>
      <c r="M1" s="425" t="s">
        <v>2</v>
      </c>
      <c r="N1" s="414" t="str">
        <f>CTD</f>
        <v>108714000</v>
      </c>
    </row>
    <row r="2" spans="1:19" ht="7.5" customHeight="1">
      <c r="A2" s="238"/>
      <c r="B2" s="131"/>
      <c r="C2" s="131"/>
      <c r="D2" s="131"/>
      <c r="E2" s="131"/>
      <c r="H2" s="239"/>
      <c r="I2" s="240"/>
      <c r="J2" s="240"/>
      <c r="K2" s="240"/>
      <c r="L2" s="240"/>
      <c r="M2" s="240"/>
      <c r="N2" s="240"/>
    </row>
    <row r="3" spans="1:19" ht="12" customHeight="1">
      <c r="A3" s="541" t="s">
        <v>147</v>
      </c>
      <c r="B3" s="542"/>
      <c r="C3" s="542"/>
      <c r="D3" s="241"/>
      <c r="E3" s="241"/>
      <c r="H3" s="241" t="s">
        <v>148</v>
      </c>
      <c r="I3" s="242"/>
      <c r="J3" s="242"/>
      <c r="K3" s="242"/>
      <c r="L3" s="242"/>
      <c r="M3" s="242"/>
      <c r="N3" s="242"/>
      <c r="Q3" s="538"/>
      <c r="R3" s="538"/>
    </row>
    <row r="4" spans="1:19" ht="40.5" customHeight="1">
      <c r="A4" s="94" t="s">
        <v>149</v>
      </c>
      <c r="D4" s="417" t="s">
        <v>150</v>
      </c>
      <c r="E4" s="417" t="s">
        <v>151</v>
      </c>
      <c r="H4" s="131"/>
      <c r="I4" s="131"/>
      <c r="J4" s="131"/>
      <c r="K4" s="131"/>
      <c r="M4" s="417" t="s">
        <v>152</v>
      </c>
      <c r="N4" s="417" t="s">
        <v>153</v>
      </c>
      <c r="Q4" s="538"/>
      <c r="R4" s="538"/>
    </row>
    <row r="5" spans="1:19" ht="12" customHeight="1">
      <c r="A5" s="243">
        <v>1</v>
      </c>
      <c r="B5" s="118" t="s">
        <v>154</v>
      </c>
      <c r="C5" s="118"/>
      <c r="D5" s="244">
        <f>[1]!FP11001130TitleI</f>
        <v>308642</v>
      </c>
      <c r="E5" s="16">
        <v>256038</v>
      </c>
      <c r="F5" s="220">
        <v>1</v>
      </c>
      <c r="G5" s="245">
        <v>1</v>
      </c>
      <c r="H5" s="246" t="s">
        <v>155</v>
      </c>
      <c r="I5" s="246"/>
      <c r="J5" s="247"/>
      <c r="K5" s="118"/>
      <c r="M5" s="248">
        <f>'[1]Page 2'!$N$5</f>
        <v>383436</v>
      </c>
      <c r="N5" s="17">
        <f>'Page 1'!L37</f>
        <v>383436</v>
      </c>
      <c r="O5" s="220">
        <v>1</v>
      </c>
      <c r="R5" s="229"/>
      <c r="S5" s="229"/>
    </row>
    <row r="6" spans="1:19" ht="12" customHeight="1">
      <c r="A6" s="243">
        <v>2</v>
      </c>
      <c r="B6" s="118" t="s">
        <v>156</v>
      </c>
      <c r="C6" s="118"/>
      <c r="D6" s="244">
        <f>[1]!FP11401150TitleII</f>
        <v>24307</v>
      </c>
      <c r="E6" s="16">
        <v>19563</v>
      </c>
      <c r="F6" s="220">
        <v>2</v>
      </c>
      <c r="G6" s="245">
        <v>2</v>
      </c>
      <c r="H6" s="118" t="s">
        <v>157</v>
      </c>
      <c r="I6" s="118"/>
      <c r="J6" s="118"/>
      <c r="K6" s="118"/>
      <c r="M6" s="248">
        <f>[1]!P200GiftedEducation</f>
        <v>0</v>
      </c>
      <c r="N6" s="17">
        <v>0</v>
      </c>
      <c r="O6" s="220">
        <v>2</v>
      </c>
      <c r="R6" s="229"/>
      <c r="S6" s="229"/>
    </row>
    <row r="7" spans="1:19" ht="12" customHeight="1">
      <c r="A7" s="243">
        <v>3</v>
      </c>
      <c r="B7" s="118" t="s">
        <v>158</v>
      </c>
      <c r="C7" s="118"/>
      <c r="D7" s="244">
        <f>[1]!FP1160TitleIV</f>
        <v>20297</v>
      </c>
      <c r="E7" s="16">
        <v>19527</v>
      </c>
      <c r="F7" s="220">
        <v>3</v>
      </c>
      <c r="G7" s="245">
        <v>3</v>
      </c>
      <c r="H7" s="118" t="s">
        <v>159</v>
      </c>
      <c r="I7" s="118"/>
      <c r="J7" s="118"/>
      <c r="K7" s="118"/>
      <c r="M7" s="244">
        <f>[1]!P200ELLIncrementalCosts</f>
        <v>0</v>
      </c>
      <c r="N7" s="16">
        <v>0</v>
      </c>
      <c r="O7" s="220">
        <v>3</v>
      </c>
      <c r="R7" s="229"/>
      <c r="S7" s="229"/>
    </row>
    <row r="8" spans="1:19" ht="12" customHeight="1">
      <c r="A8" s="243">
        <v>4</v>
      </c>
      <c r="B8" s="118" t="s">
        <v>160</v>
      </c>
      <c r="C8" s="118"/>
      <c r="D8" s="244">
        <f>[1]!FP11701180TitleV</f>
        <v>0</v>
      </c>
      <c r="E8" s="16">
        <v>0</v>
      </c>
      <c r="F8" s="220">
        <v>4</v>
      </c>
      <c r="G8" s="245">
        <v>4</v>
      </c>
      <c r="H8" s="118" t="s">
        <v>161</v>
      </c>
      <c r="I8" s="118"/>
      <c r="J8" s="118"/>
      <c r="K8" s="118"/>
      <c r="M8" s="244">
        <f>[1]!P200ELLCompensatoryInstruction</f>
        <v>0</v>
      </c>
      <c r="N8" s="16">
        <v>0</v>
      </c>
      <c r="O8" s="220">
        <v>4</v>
      </c>
      <c r="R8" s="229"/>
      <c r="S8" s="229"/>
    </row>
    <row r="9" spans="1:19" ht="12" customHeight="1">
      <c r="A9" s="243">
        <v>5</v>
      </c>
      <c r="B9" s="118" t="s">
        <v>162</v>
      </c>
      <c r="C9" s="118"/>
      <c r="D9" s="244">
        <f>[1]!FP1190TitleIII</f>
        <v>9636</v>
      </c>
      <c r="E9" s="16">
        <v>0</v>
      </c>
      <c r="F9" s="220">
        <v>5</v>
      </c>
      <c r="G9" s="245">
        <v>5</v>
      </c>
      <c r="H9" s="118" t="s">
        <v>163</v>
      </c>
      <c r="I9" s="118"/>
      <c r="J9" s="118"/>
      <c r="K9" s="118"/>
      <c r="M9" s="244">
        <f>[1]!P200RemedialEducation</f>
        <v>0</v>
      </c>
      <c r="N9" s="16">
        <v>0</v>
      </c>
      <c r="O9" s="220">
        <v>5</v>
      </c>
      <c r="R9" s="229"/>
      <c r="S9" s="229"/>
    </row>
    <row r="10" spans="1:19" ht="12" customHeight="1">
      <c r="A10" s="243">
        <v>6</v>
      </c>
      <c r="B10" s="118" t="s">
        <v>164</v>
      </c>
      <c r="C10" s="118"/>
      <c r="D10" s="244">
        <f>[1]!FP1200TitleVII</f>
        <v>0</v>
      </c>
      <c r="E10" s="16">
        <v>0</v>
      </c>
      <c r="F10" s="220">
        <v>6</v>
      </c>
      <c r="G10" s="245">
        <v>6</v>
      </c>
      <c r="H10" s="118" t="s">
        <v>165</v>
      </c>
      <c r="I10" s="118"/>
      <c r="J10" s="118"/>
      <c r="K10" s="118"/>
      <c r="M10" s="244">
        <f>[1]!P200VocationalandTechnologicalEd</f>
        <v>0</v>
      </c>
      <c r="N10" s="16">
        <v>0</v>
      </c>
      <c r="O10" s="220">
        <v>6</v>
      </c>
      <c r="R10" s="229"/>
      <c r="S10" s="229"/>
    </row>
    <row r="11" spans="1:19" ht="12" customHeight="1">
      <c r="A11" s="243">
        <v>7</v>
      </c>
      <c r="B11" s="118" t="s">
        <v>166</v>
      </c>
      <c r="C11" s="118"/>
      <c r="D11" s="244">
        <f>[1]!FP1210TitleVI</f>
        <v>0</v>
      </c>
      <c r="E11" s="16">
        <v>0</v>
      </c>
      <c r="F11" s="220">
        <v>7</v>
      </c>
      <c r="G11" s="245">
        <v>7</v>
      </c>
      <c r="H11" s="118" t="s">
        <v>167</v>
      </c>
      <c r="I11" s="118"/>
      <c r="J11" s="118"/>
      <c r="K11" s="118"/>
      <c r="M11" s="244">
        <f>[1]!P200CareerEducation</f>
        <v>0</v>
      </c>
      <c r="N11" s="16">
        <v>0</v>
      </c>
      <c r="O11" s="220">
        <v>7</v>
      </c>
      <c r="R11" s="229"/>
      <c r="S11" s="229"/>
    </row>
    <row r="12" spans="1:19" ht="12" customHeight="1">
      <c r="A12" s="243">
        <v>8</v>
      </c>
      <c r="B12" s="118" t="s">
        <v>168</v>
      </c>
      <c r="C12" s="118"/>
      <c r="D12" s="244">
        <f>[1]!FP1220IDEA</f>
        <v>59533</v>
      </c>
      <c r="E12" s="16">
        <f>60057+832</f>
        <v>60889</v>
      </c>
      <c r="F12" s="220">
        <v>8</v>
      </c>
      <c r="G12" s="245">
        <v>8</v>
      </c>
      <c r="H12" t="s">
        <v>169</v>
      </c>
      <c r="K12" s="118"/>
      <c r="M12" s="248">
        <f>SUM(M5:M11)</f>
        <v>383436</v>
      </c>
      <c r="N12" s="248">
        <f>SUM(N5:N11)</f>
        <v>383436</v>
      </c>
      <c r="O12" s="220">
        <v>8</v>
      </c>
      <c r="P12" s="139" t="str">
        <f>IF(SUM(N5:N11)=SUM('Page 1'!L37),"","Invalid. The amount must equal the total budgeted amount reported on page 1, line 27.")</f>
        <v/>
      </c>
      <c r="R12" s="229"/>
      <c r="S12" s="229"/>
    </row>
    <row r="13" spans="1:19" ht="12" customHeight="1">
      <c r="A13" s="243">
        <v>9</v>
      </c>
      <c r="B13" s="118" t="s">
        <v>170</v>
      </c>
      <c r="C13" s="118"/>
      <c r="D13" s="244">
        <f>[1]!FP1230Johnson</f>
        <v>0</v>
      </c>
      <c r="E13" s="16">
        <v>0</v>
      </c>
      <c r="F13" s="220">
        <v>9</v>
      </c>
      <c r="N13" s="229"/>
      <c r="O13" s="220"/>
      <c r="R13" s="229"/>
      <c r="S13" s="229"/>
    </row>
    <row r="14" spans="1:19" ht="12.75" customHeight="1">
      <c r="A14" s="243">
        <v>10</v>
      </c>
      <c r="B14" s="118" t="s">
        <v>171</v>
      </c>
      <c r="C14" s="118"/>
      <c r="D14" s="244">
        <f>[1]!FP1240WIA</f>
        <v>0</v>
      </c>
      <c r="E14" s="16">
        <v>0</v>
      </c>
      <c r="F14" s="220">
        <v>10</v>
      </c>
      <c r="G14" s="245">
        <v>9</v>
      </c>
      <c r="H14" s="544" t="s">
        <v>172</v>
      </c>
      <c r="I14" s="544"/>
      <c r="J14" s="544"/>
      <c r="K14" s="544"/>
      <c r="L14" s="544"/>
      <c r="M14" s="248">
        <f t="array" ref="M14">[1]!IEPtransportation</f>
        <v>0</v>
      </c>
      <c r="N14" s="17">
        <v>0</v>
      </c>
      <c r="O14" s="220">
        <v>9</v>
      </c>
      <c r="R14" s="229"/>
      <c r="S14" s="229"/>
    </row>
    <row r="15" spans="1:19" ht="12.75" customHeight="1">
      <c r="A15" s="243">
        <v>11</v>
      </c>
      <c r="B15" s="118" t="s">
        <v>173</v>
      </c>
      <c r="C15" s="118"/>
      <c r="D15" s="244">
        <f>[1]!FP1250AEA</f>
        <v>0</v>
      </c>
      <c r="E15" s="16">
        <v>0</v>
      </c>
      <c r="F15" s="220">
        <v>11</v>
      </c>
      <c r="H15" s="544"/>
      <c r="I15" s="544"/>
      <c r="J15" s="544"/>
      <c r="K15" s="544"/>
      <c r="L15" s="544"/>
      <c r="N15" s="229"/>
      <c r="O15" s="220"/>
      <c r="R15" s="229"/>
      <c r="S15" s="229"/>
    </row>
    <row r="16" spans="1:19" ht="12" customHeight="1">
      <c r="A16" s="243">
        <v>12</v>
      </c>
      <c r="B16" s="118" t="s">
        <v>174</v>
      </c>
      <c r="C16" s="118"/>
      <c r="D16" s="244">
        <f>[1]!FP12601270VocEd</f>
        <v>0</v>
      </c>
      <c r="E16" s="16">
        <v>0</v>
      </c>
      <c r="F16" s="220">
        <v>12</v>
      </c>
      <c r="G16" s="245"/>
      <c r="H16" s="118"/>
      <c r="I16" s="118"/>
      <c r="J16" s="118"/>
      <c r="K16" s="118"/>
      <c r="M16" s="249"/>
      <c r="N16" s="249"/>
      <c r="O16" s="220"/>
      <c r="R16" s="229"/>
      <c r="S16" s="229"/>
    </row>
    <row r="17" spans="1:19" ht="12" customHeight="1">
      <c r="A17" s="243">
        <v>13</v>
      </c>
      <c r="B17" s="118" t="s">
        <v>175</v>
      </c>
      <c r="C17" s="118"/>
      <c r="D17" s="244">
        <f>[1]!FP1280TitleX</f>
        <v>0</v>
      </c>
      <c r="E17" s="16">
        <v>0</v>
      </c>
      <c r="F17" s="220">
        <v>13</v>
      </c>
      <c r="G17" s="245"/>
      <c r="H17" s="241" t="s">
        <v>176</v>
      </c>
      <c r="I17" s="242"/>
      <c r="J17" s="242"/>
      <c r="K17" s="242"/>
      <c r="L17" s="242"/>
      <c r="M17" s="249"/>
      <c r="N17" s="249"/>
      <c r="O17" s="220"/>
      <c r="R17" s="229"/>
      <c r="S17" s="229"/>
    </row>
    <row r="18" spans="1:19" ht="12" customHeight="1">
      <c r="A18" s="243">
        <v>14</v>
      </c>
      <c r="B18" s="118" t="s">
        <v>177</v>
      </c>
      <c r="C18" s="118"/>
      <c r="D18" s="244">
        <f>[1]!FP1290Medicaid</f>
        <v>0</v>
      </c>
      <c r="E18" s="16">
        <v>0</v>
      </c>
      <c r="F18" s="220">
        <v>14</v>
      </c>
      <c r="G18" s="245"/>
      <c r="H18" s="409" t="s">
        <v>178</v>
      </c>
      <c r="M18" s="250"/>
      <c r="N18" s="250"/>
      <c r="R18" s="229"/>
      <c r="S18" s="229"/>
    </row>
    <row r="19" spans="1:19" ht="12" customHeight="1">
      <c r="A19" s="243">
        <v>15</v>
      </c>
      <c r="B19" s="118" t="s">
        <v>179</v>
      </c>
      <c r="C19" s="118"/>
      <c r="D19" s="248">
        <f>[1]!FP1300Charter</f>
        <v>0</v>
      </c>
      <c r="E19" s="17">
        <v>0</v>
      </c>
      <c r="F19" s="220">
        <v>15</v>
      </c>
      <c r="G19" s="245"/>
      <c r="H19" s="118"/>
      <c r="I19" s="118"/>
      <c r="J19" s="118"/>
      <c r="K19" s="118"/>
      <c r="M19" s="543" t="s">
        <v>180</v>
      </c>
      <c r="N19" s="543" t="s">
        <v>151</v>
      </c>
      <c r="R19" s="229"/>
      <c r="S19" s="229"/>
    </row>
    <row r="20" spans="1:19" ht="12" customHeight="1">
      <c r="A20" s="243">
        <v>16</v>
      </c>
      <c r="B20" s="118" t="s">
        <v>181</v>
      </c>
      <c r="C20" s="118"/>
      <c r="D20" s="251">
        <f>[1]!FP13__ImpactAid</f>
        <v>0</v>
      </c>
      <c r="E20" s="21">
        <v>0</v>
      </c>
      <c r="F20" s="220">
        <v>16</v>
      </c>
      <c r="G20" s="245"/>
      <c r="H20" s="118"/>
      <c r="I20" s="118"/>
      <c r="J20" s="118"/>
      <c r="K20" s="118"/>
      <c r="M20" s="543"/>
      <c r="N20" s="543"/>
      <c r="R20" s="229"/>
      <c r="S20" s="229"/>
    </row>
    <row r="21" spans="1:19" ht="12" customHeight="1" thickBot="1">
      <c r="A21" s="243">
        <v>17</v>
      </c>
      <c r="B21" s="252" t="s">
        <v>182</v>
      </c>
      <c r="C21" s="246"/>
      <c r="D21" s="253">
        <f>[1]!FP13101399Other</f>
        <v>301272</v>
      </c>
      <c r="E21" s="18">
        <v>65000</v>
      </c>
      <c r="F21" s="220">
        <v>17</v>
      </c>
      <c r="G21" s="243" t="s">
        <v>6</v>
      </c>
      <c r="H21" s="409" t="s">
        <v>183</v>
      </c>
      <c r="I21" s="409"/>
      <c r="J21" s="118"/>
      <c r="K21" s="118"/>
      <c r="M21" s="248">
        <f>[1]!IIPTeacherCompensationIncreases</f>
        <v>0</v>
      </c>
      <c r="N21" s="17">
        <v>0</v>
      </c>
      <c r="O21" s="243" t="s">
        <v>6</v>
      </c>
      <c r="R21" s="229"/>
      <c r="S21" s="229"/>
    </row>
    <row r="22" spans="1:19" ht="12" customHeight="1" thickBot="1">
      <c r="A22" s="243">
        <v>18</v>
      </c>
      <c r="B22" s="118" t="s">
        <v>184</v>
      </c>
      <c r="C22" s="118"/>
      <c r="D22" s="254">
        <f>SUM(D5:D21)</f>
        <v>723687</v>
      </c>
      <c r="E22" s="254">
        <f>SUM(E5:E21)</f>
        <v>421017</v>
      </c>
      <c r="F22" s="220">
        <v>18</v>
      </c>
      <c r="G22" s="243" t="s">
        <v>10</v>
      </c>
      <c r="H22" s="118" t="s">
        <v>185</v>
      </c>
      <c r="I22" s="118"/>
      <c r="J22" s="255"/>
      <c r="M22" s="248">
        <f>[1]!IIPClassSizeReduction</f>
        <v>0</v>
      </c>
      <c r="N22" s="17">
        <v>0</v>
      </c>
      <c r="O22" s="243" t="s">
        <v>10</v>
      </c>
      <c r="R22" s="229"/>
      <c r="S22" s="229"/>
    </row>
    <row r="23" spans="1:19" ht="12.75" customHeight="1" thickTop="1">
      <c r="A23" s="256" t="s">
        <v>186</v>
      </c>
      <c r="B23" s="118"/>
      <c r="C23" s="118"/>
      <c r="D23" s="208"/>
      <c r="E23" s="257"/>
      <c r="F23" s="220"/>
      <c r="G23" s="243" t="s">
        <v>187</v>
      </c>
      <c r="H23" s="246" t="s">
        <v>188</v>
      </c>
      <c r="I23" s="246"/>
      <c r="J23" s="247"/>
      <c r="K23" s="258"/>
      <c r="M23" s="248">
        <f>[1]!IIPDropoutPreventionPrograms</f>
        <v>0</v>
      </c>
      <c r="N23" s="17">
        <v>0</v>
      </c>
      <c r="O23" s="243" t="s">
        <v>187</v>
      </c>
      <c r="R23" s="229"/>
      <c r="S23" s="229"/>
    </row>
    <row r="24" spans="1:19" ht="12" customHeight="1">
      <c r="A24" s="243">
        <v>19</v>
      </c>
      <c r="B24" s="118" t="s">
        <v>189</v>
      </c>
      <c r="C24" s="118"/>
      <c r="D24" s="216">
        <f>[1]!SP1400VocEd</f>
        <v>0</v>
      </c>
      <c r="E24" s="4"/>
      <c r="F24" s="220">
        <v>19</v>
      </c>
      <c r="G24" s="243" t="s">
        <v>190</v>
      </c>
      <c r="H24" s="246" t="s">
        <v>191</v>
      </c>
      <c r="I24" s="246"/>
      <c r="J24" s="247"/>
      <c r="K24" s="258"/>
      <c r="M24" s="248">
        <f>[1]!IIPInstructionalImprovementPrograms</f>
        <v>40286</v>
      </c>
      <c r="N24" s="17">
        <v>31988</v>
      </c>
      <c r="O24" s="243" t="s">
        <v>190</v>
      </c>
      <c r="R24" s="229"/>
      <c r="S24" s="229"/>
    </row>
    <row r="25" spans="1:19" ht="12" customHeight="1" thickBot="1">
      <c r="A25" s="243">
        <v>20</v>
      </c>
      <c r="B25" s="118" t="s">
        <v>192</v>
      </c>
      <c r="C25" s="118"/>
      <c r="D25" s="244">
        <f>[1]!SP1410EarlyChildhoodBlockGrant</f>
        <v>0</v>
      </c>
      <c r="E25" s="16"/>
      <c r="F25" s="220">
        <v>20</v>
      </c>
      <c r="G25" s="243" t="s">
        <v>193</v>
      </c>
      <c r="H25" s="409" t="s">
        <v>194</v>
      </c>
      <c r="I25" s="409"/>
      <c r="J25" s="118"/>
      <c r="K25" s="118"/>
      <c r="M25" s="254">
        <f>SUM(M21:M24)</f>
        <v>40286</v>
      </c>
      <c r="N25" s="254">
        <f>SUM(N21:N24)</f>
        <v>31988</v>
      </c>
      <c r="O25" s="243" t="s">
        <v>193</v>
      </c>
      <c r="R25" s="229"/>
      <c r="S25" s="229"/>
    </row>
    <row r="26" spans="1:19" ht="12" customHeight="1" thickTop="1">
      <c r="A26" s="243">
        <v>21</v>
      </c>
      <c r="B26" s="118" t="s">
        <v>195</v>
      </c>
      <c r="C26" s="118"/>
      <c r="D26" s="244">
        <f>[1]!FP1420ExtendedSchool</f>
        <v>0</v>
      </c>
      <c r="E26" s="16"/>
      <c r="F26" s="220">
        <v>21</v>
      </c>
      <c r="K26" s="255"/>
      <c r="R26" s="229"/>
      <c r="S26" s="229"/>
    </row>
    <row r="27" spans="1:19" ht="12" customHeight="1">
      <c r="A27" s="243">
        <v>22</v>
      </c>
      <c r="B27" s="118" t="s">
        <v>196</v>
      </c>
      <c r="C27" s="118"/>
      <c r="D27" s="244">
        <f>[1]!SP1425AdultBasicEd</f>
        <v>0</v>
      </c>
      <c r="E27" s="16"/>
      <c r="F27" s="220">
        <v>22</v>
      </c>
      <c r="H27" s="238" t="s">
        <v>197</v>
      </c>
      <c r="I27" s="131"/>
      <c r="J27" s="131"/>
      <c r="L27" s="241" t="s">
        <v>198</v>
      </c>
      <c r="M27" s="259"/>
      <c r="N27" s="259"/>
      <c r="O27" s="220"/>
      <c r="R27" s="229"/>
      <c r="S27" s="229"/>
    </row>
    <row r="28" spans="1:19" ht="12" customHeight="1">
      <c r="A28" s="243">
        <v>23</v>
      </c>
      <c r="B28" s="118" t="s">
        <v>199</v>
      </c>
      <c r="C28" s="118"/>
      <c r="D28" s="244">
        <f>[1]!SP1430ChemicalAbuse</f>
        <v>0</v>
      </c>
      <c r="E28" s="16"/>
      <c r="F28" s="220">
        <v>23</v>
      </c>
      <c r="H28" s="238" t="s">
        <v>200</v>
      </c>
      <c r="I28" s="131"/>
      <c r="J28" s="131"/>
      <c r="L28" s="131" t="s">
        <v>201</v>
      </c>
      <c r="M28" s="131"/>
      <c r="N28" s="131"/>
    </row>
    <row r="29" spans="1:19" ht="12" customHeight="1">
      <c r="A29" s="243">
        <v>24</v>
      </c>
      <c r="B29" s="118" t="s">
        <v>202</v>
      </c>
      <c r="C29" s="118"/>
      <c r="D29" s="244">
        <f>[1]!SP1435AcademicContests</f>
        <v>0</v>
      </c>
      <c r="E29" s="16"/>
      <c r="F29" s="220">
        <v>24</v>
      </c>
      <c r="H29" t="s">
        <v>203</v>
      </c>
      <c r="I29" s="425" t="s">
        <v>204</v>
      </c>
      <c r="J29" s="11"/>
      <c r="L29" s="39" t="s">
        <v>205</v>
      </c>
      <c r="N29" s="5">
        <v>23000</v>
      </c>
    </row>
    <row r="30" spans="1:19" ht="12" customHeight="1">
      <c r="A30" s="243">
        <v>25</v>
      </c>
      <c r="B30" s="118" t="s">
        <v>206</v>
      </c>
      <c r="C30" s="118"/>
      <c r="D30" s="244">
        <f>[1]!SP1450GiftedEd</f>
        <v>0</v>
      </c>
      <c r="E30" s="16"/>
      <c r="F30" s="220">
        <v>25</v>
      </c>
      <c r="G30" s="407"/>
      <c r="H30" t="s">
        <v>207</v>
      </c>
      <c r="I30" s="425" t="s">
        <v>204</v>
      </c>
      <c r="J30" s="22"/>
      <c r="K30" s="118"/>
      <c r="L30" s="39" t="s">
        <v>208</v>
      </c>
      <c r="N30" s="5">
        <f>SP1000P100F1000+SP1000P200F1000+SP1000P550+IIPInstructionalImprovementPrograms+_CSP1000+181806.45+10219.34+30974.57+832.19</f>
        <v>2151162</v>
      </c>
      <c r="O30" s="94"/>
    </row>
    <row r="31" spans="1:19" ht="12" customHeight="1">
      <c r="A31" s="243">
        <v>26</v>
      </c>
      <c r="B31" s="246" t="s">
        <v>209</v>
      </c>
      <c r="C31" s="246"/>
      <c r="D31" s="244">
        <f>'[1]Page 2'!$E$31</f>
        <v>0</v>
      </c>
      <c r="E31" s="16"/>
      <c r="F31" s="220">
        <v>26</v>
      </c>
      <c r="I31" s="425"/>
      <c r="J31" s="260"/>
      <c r="L31" s="39"/>
      <c r="N31" s="229"/>
      <c r="O31" s="94"/>
    </row>
    <row r="32" spans="1:19" ht="12" customHeight="1">
      <c r="A32" s="243">
        <v>27</v>
      </c>
      <c r="B32" s="118" t="s">
        <v>210</v>
      </c>
      <c r="C32" s="118"/>
      <c r="D32" s="244">
        <f>[1]!SP1460EnvironmentalSpecialPlate</f>
        <v>0</v>
      </c>
      <c r="E32" s="16"/>
      <c r="F32" s="220">
        <v>27</v>
      </c>
      <c r="H32" s="261" t="s">
        <v>211</v>
      </c>
      <c r="I32" s="262"/>
      <c r="J32" s="263"/>
      <c r="K32" s="264"/>
      <c r="L32" s="264"/>
      <c r="M32" s="264"/>
      <c r="O32" s="94"/>
    </row>
    <row r="33" spans="1:15" ht="12" customHeight="1">
      <c r="A33" s="243">
        <v>28</v>
      </c>
      <c r="B33" s="118" t="s">
        <v>212</v>
      </c>
      <c r="C33" s="118"/>
      <c r="D33" s="244">
        <f>[1]!SP1465CharterSchool</f>
        <v>0</v>
      </c>
      <c r="E33" s="16"/>
      <c r="F33" s="220">
        <v>28</v>
      </c>
      <c r="H33" s="261" t="s">
        <v>213</v>
      </c>
      <c r="I33" s="262"/>
      <c r="J33" s="263"/>
      <c r="K33" s="264"/>
      <c r="L33" s="264"/>
      <c r="M33" s="264"/>
    </row>
    <row r="34" spans="1:15" ht="12" customHeight="1">
      <c r="A34" s="243">
        <v>29</v>
      </c>
      <c r="B34" s="252" t="s">
        <v>214</v>
      </c>
      <c r="C34" s="265"/>
      <c r="D34" s="244">
        <f>'[1]Page 2'!$E$34</f>
        <v>0</v>
      </c>
      <c r="E34" s="16"/>
      <c r="F34" s="220">
        <v>29</v>
      </c>
      <c r="H34" s="118" t="s">
        <v>215</v>
      </c>
      <c r="K34" s="131"/>
      <c r="M34" s="266"/>
    </row>
    <row r="35" spans="1:15" ht="12" customHeight="1" thickBot="1">
      <c r="A35" s="243">
        <v>30</v>
      </c>
      <c r="B35" s="252" t="s">
        <v>216</v>
      </c>
      <c r="C35" s="252"/>
      <c r="D35" s="244">
        <f>[1]!SP14701499Other</f>
        <v>0</v>
      </c>
      <c r="E35" s="16"/>
      <c r="F35" s="220">
        <v>30</v>
      </c>
      <c r="H35" s="118" t="s">
        <v>217</v>
      </c>
      <c r="M35" s="266"/>
      <c r="N35" s="5">
        <v>131886</v>
      </c>
    </row>
    <row r="36" spans="1:15" ht="12" customHeight="1" thickBot="1">
      <c r="A36" s="243">
        <v>31</v>
      </c>
      <c r="B36" s="118" t="s">
        <v>218</v>
      </c>
      <c r="C36" s="118"/>
      <c r="D36" s="267">
        <f>SUM(D24:D35)</f>
        <v>0</v>
      </c>
      <c r="E36" s="267">
        <f>SUM(E24:E35)</f>
        <v>0</v>
      </c>
      <c r="F36" s="220">
        <v>31</v>
      </c>
      <c r="H36" s="118"/>
      <c r="K36" s="131"/>
      <c r="O36" s="243"/>
    </row>
    <row r="37" spans="1:15" ht="12" customHeight="1" thickTop="1" thickBot="1">
      <c r="A37" s="243">
        <v>32</v>
      </c>
      <c r="B37" s="118" t="s">
        <v>219</v>
      </c>
      <c r="C37" s="118"/>
      <c r="D37" s="254">
        <f>D22+D36</f>
        <v>723687</v>
      </c>
      <c r="E37" s="254">
        <f>E22+E36</f>
        <v>421017</v>
      </c>
      <c r="F37" s="220">
        <v>32</v>
      </c>
      <c r="G37" s="197"/>
      <c r="H37" s="268" t="s">
        <v>220</v>
      </c>
      <c r="N37" s="269"/>
      <c r="O37" s="243"/>
    </row>
    <row r="38" spans="1:15" ht="12" customHeight="1" thickTop="1">
      <c r="A38" s="407"/>
      <c r="F38" s="220"/>
      <c r="G38" s="270"/>
      <c r="H38" s="118" t="s">
        <v>221</v>
      </c>
      <c r="I38" s="238"/>
      <c r="J38" s="271"/>
      <c r="K38" s="238"/>
      <c r="L38" s="271"/>
      <c r="M38" s="238"/>
      <c r="N38" s="5">
        <v>0</v>
      </c>
      <c r="O38" s="243"/>
    </row>
    <row r="39" spans="1:15" ht="24" customHeight="1">
      <c r="B39" s="272" t="s">
        <v>222</v>
      </c>
      <c r="C39" s="241"/>
      <c r="D39" s="417" t="s">
        <v>223</v>
      </c>
      <c r="E39" s="417" t="s">
        <v>224</v>
      </c>
      <c r="F39" s="220"/>
      <c r="G39" s="270"/>
      <c r="H39" s="118" t="s">
        <v>225</v>
      </c>
      <c r="I39" s="118"/>
      <c r="J39" s="118"/>
      <c r="K39" s="118"/>
      <c r="L39" s="118"/>
      <c r="M39" s="118"/>
      <c r="N39" s="5">
        <v>0</v>
      </c>
      <c r="O39" s="243"/>
    </row>
    <row r="40" spans="1:15">
      <c r="A40" s="245">
        <v>1</v>
      </c>
      <c r="B40" t="s">
        <v>226</v>
      </c>
      <c r="D40" s="244">
        <f t="array" ref="D40">[1]!CA0181IntangibleAssets</f>
        <v>0</v>
      </c>
      <c r="E40" s="5">
        <v>0</v>
      </c>
      <c r="F40" s="220">
        <v>1</v>
      </c>
      <c r="G40" s="243"/>
      <c r="H40" s="255"/>
      <c r="I40" s="255"/>
      <c r="J40" s="255"/>
      <c r="K40" s="255"/>
      <c r="L40" s="255"/>
      <c r="M40" s="255"/>
      <c r="N40" s="229"/>
      <c r="O40" s="243"/>
    </row>
    <row r="41" spans="1:15" ht="12" customHeight="1">
      <c r="A41" s="245">
        <v>2</v>
      </c>
      <c r="B41" s="118" t="s">
        <v>227</v>
      </c>
      <c r="D41" s="216">
        <f>[1]!CA0191Land</f>
        <v>0</v>
      </c>
      <c r="E41" s="5">
        <v>0</v>
      </c>
      <c r="F41" s="220">
        <v>2</v>
      </c>
      <c r="G41" s="243"/>
    </row>
    <row r="42" spans="1:15" ht="12" customHeight="1">
      <c r="A42" s="245">
        <v>3</v>
      </c>
      <c r="B42" s="118" t="s">
        <v>228</v>
      </c>
      <c r="D42" s="216">
        <f>[1]!CA0192SiteImprovements</f>
        <v>0</v>
      </c>
      <c r="E42" s="4">
        <v>0</v>
      </c>
      <c r="F42" s="220">
        <v>3</v>
      </c>
      <c r="G42" s="270"/>
    </row>
    <row r="43" spans="1:15" ht="12" customHeight="1">
      <c r="A43" s="245">
        <v>4</v>
      </c>
      <c r="B43" s="118" t="s">
        <v>229</v>
      </c>
      <c r="D43" s="216">
        <f>[1]!CA0194Buildings</f>
        <v>77000</v>
      </c>
      <c r="E43" s="4">
        <v>0</v>
      </c>
      <c r="F43" s="220">
        <v>4</v>
      </c>
      <c r="G43" s="243"/>
    </row>
    <row r="44" spans="1:15" ht="12" customHeight="1">
      <c r="A44" s="245">
        <v>5</v>
      </c>
      <c r="B44" s="118" t="s">
        <v>230</v>
      </c>
      <c r="D44" s="216">
        <f>[1]!CA0196Equipment</f>
        <v>0</v>
      </c>
      <c r="E44" s="4">
        <v>0</v>
      </c>
      <c r="F44" s="220">
        <v>5</v>
      </c>
      <c r="G44" s="243"/>
    </row>
    <row r="45" spans="1:15" ht="12" customHeight="1" thickBot="1">
      <c r="A45" s="407">
        <v>6</v>
      </c>
      <c r="B45" s="118" t="s">
        <v>231</v>
      </c>
      <c r="D45" s="274">
        <f>[1]!CA0198CIP</f>
        <v>0</v>
      </c>
      <c r="E45" s="12">
        <v>0</v>
      </c>
      <c r="F45" s="220">
        <v>6</v>
      </c>
      <c r="G45" s="243"/>
    </row>
    <row r="46" spans="1:15" ht="12" customHeight="1" thickBot="1">
      <c r="A46" s="275">
        <v>7</v>
      </c>
      <c r="B46" s="118" t="s">
        <v>232</v>
      </c>
      <c r="D46" s="254">
        <f>SUM(D40:D45)</f>
        <v>77000</v>
      </c>
      <c r="E46" s="254">
        <f>SUM(E40:E45)</f>
        <v>0</v>
      </c>
      <c r="F46" s="220">
        <v>7</v>
      </c>
      <c r="G46" s="273"/>
    </row>
    <row r="47" spans="1:15" ht="13.5" customHeight="1" thickTop="1">
      <c r="G47" s="273"/>
      <c r="N47" s="249"/>
    </row>
    <row r="48" spans="1:15" ht="13.5" customHeight="1">
      <c r="A48" s="275">
        <v>8</v>
      </c>
      <c r="B48" s="539" t="s">
        <v>233</v>
      </c>
      <c r="C48" s="540"/>
      <c r="D48" s="223">
        <f>[1]!CAK3Reading</f>
        <v>0</v>
      </c>
      <c r="E48" s="5">
        <v>0</v>
      </c>
      <c r="F48" s="220">
        <v>8</v>
      </c>
    </row>
    <row r="49" spans="9:9" ht="27" customHeight="1"/>
    <row r="50" spans="9:9" ht="12.75" customHeight="1">
      <c r="I50" s="39"/>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26" sqref="G26"/>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413" t="str">
        <f>CharterName</f>
        <v>Tucson International Academy</v>
      </c>
      <c r="E1" s="39"/>
      <c r="F1" s="425" t="s">
        <v>46</v>
      </c>
      <c r="G1" s="408" t="str">
        <f>Cover!M1</f>
        <v>Pima</v>
      </c>
      <c r="H1" s="405"/>
      <c r="I1" s="405"/>
      <c r="J1" s="405"/>
      <c r="K1" s="425" t="s">
        <v>2</v>
      </c>
      <c r="L1" s="414" t="str">
        <f>CTD</f>
        <v>108714000</v>
      </c>
      <c r="M1" s="405"/>
    </row>
    <row r="2" spans="1:14" ht="12.75" customHeight="1">
      <c r="A2" s="131"/>
      <c r="B2" s="131"/>
      <c r="C2" s="131"/>
      <c r="D2" s="131"/>
      <c r="E2" s="131"/>
      <c r="F2" s="131"/>
      <c r="G2" s="131"/>
      <c r="H2" s="131"/>
      <c r="I2" s="131"/>
      <c r="J2" s="131"/>
      <c r="K2" s="131"/>
    </row>
    <row r="3" spans="1:14">
      <c r="A3" s="131"/>
      <c r="B3" s="131"/>
      <c r="C3" s="131"/>
      <c r="D3" s="131"/>
      <c r="E3" s="131"/>
      <c r="F3" s="131"/>
      <c r="G3" s="131"/>
      <c r="H3" s="131"/>
      <c r="I3" s="131"/>
      <c r="J3" s="131"/>
      <c r="K3" s="131"/>
    </row>
    <row r="4" spans="1:14">
      <c r="A4" s="276"/>
      <c r="B4" s="277"/>
      <c r="C4" s="277"/>
      <c r="D4" s="545"/>
      <c r="E4" s="278"/>
      <c r="F4" s="279"/>
      <c r="G4" s="207" t="s">
        <v>234</v>
      </c>
      <c r="H4" s="280" t="s">
        <v>100</v>
      </c>
      <c r="I4" s="281"/>
      <c r="J4" s="530" t="s">
        <v>101</v>
      </c>
      <c r="K4" s="531"/>
      <c r="L4" s="281" t="s">
        <v>107</v>
      </c>
    </row>
    <row r="5" spans="1:14" ht="12.75" customHeight="1">
      <c r="A5" s="282" t="s">
        <v>102</v>
      </c>
      <c r="D5" s="537"/>
      <c r="E5" s="91"/>
      <c r="F5" s="204" t="s">
        <v>108</v>
      </c>
      <c r="G5" s="107" t="s">
        <v>109</v>
      </c>
      <c r="H5" s="283" t="s">
        <v>104</v>
      </c>
      <c r="I5" s="204" t="s">
        <v>111</v>
      </c>
      <c r="J5" s="204" t="s">
        <v>235</v>
      </c>
      <c r="K5" s="204" t="s">
        <v>236</v>
      </c>
      <c r="L5" s="204" t="s">
        <v>114</v>
      </c>
    </row>
    <row r="6" spans="1:14">
      <c r="A6" s="420"/>
      <c r="B6" s="421"/>
      <c r="C6" s="421"/>
      <c r="D6" s="421"/>
      <c r="E6" s="422"/>
      <c r="F6" s="211">
        <v>6100</v>
      </c>
      <c r="G6" s="284">
        <v>6200</v>
      </c>
      <c r="H6" s="283" t="s">
        <v>237</v>
      </c>
      <c r="I6" s="204">
        <v>6600</v>
      </c>
      <c r="J6" s="204">
        <v>2024</v>
      </c>
      <c r="K6" s="204">
        <v>2025</v>
      </c>
      <c r="L6" s="204" t="s">
        <v>116</v>
      </c>
    </row>
    <row r="7" spans="1:14" ht="12.75" customHeight="1">
      <c r="A7" s="285" t="s">
        <v>238</v>
      </c>
      <c r="B7" s="286"/>
      <c r="C7" s="286"/>
      <c r="D7" s="286"/>
      <c r="F7" s="212"/>
      <c r="G7" s="213"/>
      <c r="H7" s="212"/>
      <c r="I7" s="212"/>
      <c r="J7" s="287"/>
      <c r="K7" s="213"/>
      <c r="L7" s="215"/>
      <c r="M7" s="288"/>
      <c r="N7" s="289"/>
    </row>
    <row r="8" spans="1:14">
      <c r="A8" s="53"/>
      <c r="C8" t="s">
        <v>118</v>
      </c>
      <c r="D8" s="203"/>
      <c r="E8" s="407">
        <v>1</v>
      </c>
      <c r="F8" s="4">
        <v>367579</v>
      </c>
      <c r="G8" s="19">
        <v>29112</v>
      </c>
      <c r="H8" s="4">
        <v>79600</v>
      </c>
      <c r="I8" s="4"/>
      <c r="J8" s="463" cm="1">
        <f t="array" ref="J8">[1]!_CSP1000</f>
        <v>255259</v>
      </c>
      <c r="K8" s="217">
        <f t="shared" ref="K8:K12" si="0">SUM(F8:I8)</f>
        <v>476291</v>
      </c>
      <c r="L8" s="221">
        <f t="shared" ref="L8:L13" si="1">IF(J8=0," ",(K8-J8)/J8)</f>
        <v>0.86599999999999999</v>
      </c>
      <c r="M8" s="220">
        <v>1</v>
      </c>
      <c r="N8" s="289"/>
    </row>
    <row r="9" spans="1:14" ht="12.75" customHeight="1">
      <c r="A9" s="53"/>
      <c r="C9" t="s">
        <v>239</v>
      </c>
      <c r="E9" s="407">
        <v>2</v>
      </c>
      <c r="F9" s="4"/>
      <c r="G9" s="4"/>
      <c r="H9" s="4"/>
      <c r="I9" s="4"/>
      <c r="J9" s="464" cm="1">
        <f t="array" ref="J9">[1]!_CSP2100</f>
        <v>0</v>
      </c>
      <c r="K9" s="217">
        <f t="shared" si="0"/>
        <v>0</v>
      </c>
      <c r="L9" s="221" t="str">
        <f t="shared" si="1"/>
        <v xml:space="preserve"> </v>
      </c>
      <c r="M9" s="220">
        <v>2</v>
      </c>
      <c r="N9" s="289"/>
    </row>
    <row r="10" spans="1:14">
      <c r="A10" s="53"/>
      <c r="C10" t="s">
        <v>240</v>
      </c>
      <c r="E10" s="407">
        <v>3</v>
      </c>
      <c r="F10" s="4"/>
      <c r="G10" s="4"/>
      <c r="H10" s="4"/>
      <c r="I10" s="4"/>
      <c r="J10" s="464" cm="1">
        <f t="array" ref="J10">[1]!_CSP2200</f>
        <v>0</v>
      </c>
      <c r="K10" s="217">
        <f t="shared" si="0"/>
        <v>0</v>
      </c>
      <c r="L10" s="221" t="str">
        <f t="shared" si="1"/>
        <v xml:space="preserve"> </v>
      </c>
      <c r="M10" s="220">
        <v>3</v>
      </c>
      <c r="N10" s="289"/>
    </row>
    <row r="11" spans="1:14">
      <c r="A11" s="53"/>
      <c r="C11" s="252" t="s">
        <v>241</v>
      </c>
      <c r="D11" s="252"/>
      <c r="E11" s="407">
        <v>4</v>
      </c>
      <c r="F11" s="234"/>
      <c r="G11" s="234"/>
      <c r="H11" s="4"/>
      <c r="I11" s="234"/>
      <c r="J11" s="464" cm="1">
        <f t="array" ref="J11">[1]!_CSP2300</f>
        <v>0</v>
      </c>
      <c r="K11" s="217">
        <f t="shared" si="0"/>
        <v>0</v>
      </c>
      <c r="L11" s="228" t="str">
        <f t="shared" si="1"/>
        <v xml:space="preserve"> </v>
      </c>
      <c r="M11" s="220">
        <v>4</v>
      </c>
    </row>
    <row r="12" spans="1:14" ht="12.75" customHeight="1">
      <c r="A12" s="53"/>
      <c r="C12" t="s">
        <v>242</v>
      </c>
      <c r="E12" s="407">
        <v>5</v>
      </c>
      <c r="F12" s="5"/>
      <c r="G12" s="5"/>
      <c r="H12" s="4"/>
      <c r="I12" s="234"/>
      <c r="J12" s="464" cm="1">
        <f t="array" ref="J12">[1]!_CSP3300</f>
        <v>0</v>
      </c>
      <c r="K12" s="217">
        <f t="shared" si="0"/>
        <v>0</v>
      </c>
      <c r="L12" s="221" t="str">
        <f t="shared" si="1"/>
        <v xml:space="preserve"> </v>
      </c>
      <c r="M12" s="220">
        <v>5</v>
      </c>
      <c r="N12" s="289"/>
    </row>
    <row r="13" spans="1:14" ht="12.75" customHeight="1">
      <c r="A13" s="75" t="s">
        <v>243</v>
      </c>
      <c r="B13" s="235"/>
      <c r="C13" s="235"/>
      <c r="D13" s="235"/>
      <c r="E13" s="290">
        <v>6</v>
      </c>
      <c r="F13" s="291">
        <f>SUM(F8:F12)</f>
        <v>367579</v>
      </c>
      <c r="G13" s="291">
        <f>SUM(G8:G12)</f>
        <v>29112</v>
      </c>
      <c r="H13" s="291">
        <f>SUM(H8:H12)</f>
        <v>79600</v>
      </c>
      <c r="I13" s="291">
        <f>SUM(I8:I12)</f>
        <v>0</v>
      </c>
      <c r="J13" s="292" cm="1">
        <f t="array" ref="J13">[1]!CSPTotal</f>
        <v>255259</v>
      </c>
      <c r="K13" s="291">
        <f>SUM(F13:I13)</f>
        <v>476291</v>
      </c>
      <c r="L13" s="221">
        <f t="shared" si="1"/>
        <v>0.86599999999999999</v>
      </c>
      <c r="M13" s="220">
        <v>6</v>
      </c>
    </row>
    <row r="16" spans="1:14" ht="12.75" customHeight="1">
      <c r="A16" s="285" t="s">
        <v>244</v>
      </c>
      <c r="B16" s="293"/>
      <c r="C16" s="293"/>
      <c r="D16" s="293"/>
    </row>
    <row r="17" spans="3:6" ht="12.75" customHeight="1">
      <c r="C17" t="s">
        <v>245</v>
      </c>
      <c r="D17" s="197"/>
      <c r="F17" s="5"/>
    </row>
    <row r="18" spans="3:6" ht="12.75" customHeight="1">
      <c r="C18" t="s">
        <v>221</v>
      </c>
      <c r="D18" s="197"/>
      <c r="F18" s="4"/>
    </row>
    <row r="19" spans="3:6" ht="12.75" customHeight="1">
      <c r="C19" t="s">
        <v>225</v>
      </c>
      <c r="D19" s="197"/>
      <c r="F19" s="4"/>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4" workbookViewId="0">
      <selection activeCell="G9" sqref="G9"/>
    </sheetView>
  </sheetViews>
  <sheetFormatPr defaultColWidth="9.425781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246</v>
      </c>
      <c r="D1" s="535" t="str">
        <f>CharterName</f>
        <v>Tucson International Academy</v>
      </c>
      <c r="E1" s="535"/>
      <c r="F1" s="535"/>
      <c r="G1" s="39"/>
      <c r="I1" s="425" t="s">
        <v>46</v>
      </c>
      <c r="J1" s="517" t="str">
        <f>Cover!M1</f>
        <v>Pima</v>
      </c>
      <c r="K1" s="517"/>
      <c r="M1" s="425" t="s">
        <v>2</v>
      </c>
      <c r="N1" s="536" t="str">
        <f>CTD</f>
        <v>108714000</v>
      </c>
      <c r="O1" s="536"/>
    </row>
    <row r="2" spans="1:16">
      <c r="A2" s="131"/>
      <c r="B2" s="131"/>
      <c r="C2" s="294"/>
      <c r="D2" s="131"/>
      <c r="E2" s="131"/>
      <c r="F2" s="131"/>
      <c r="G2" s="131"/>
      <c r="H2" s="131"/>
      <c r="I2" s="131"/>
      <c r="J2" s="131"/>
    </row>
    <row r="3" spans="1:16">
      <c r="A3" s="295"/>
      <c r="B3" s="296"/>
      <c r="C3" s="296"/>
      <c r="D3" s="545"/>
      <c r="E3" s="297"/>
      <c r="F3" s="298" t="s">
        <v>247</v>
      </c>
      <c r="G3" s="278"/>
      <c r="H3" s="215"/>
      <c r="I3" s="215"/>
      <c r="J3" s="281" t="s">
        <v>100</v>
      </c>
      <c r="K3" s="214"/>
      <c r="L3" s="214"/>
      <c r="M3" s="205" t="s">
        <v>101</v>
      </c>
      <c r="N3" s="206"/>
      <c r="O3" s="215"/>
    </row>
    <row r="4" spans="1:16">
      <c r="A4" s="282"/>
      <c r="D4" s="537"/>
      <c r="E4" s="91"/>
      <c r="F4" s="299" t="s">
        <v>248</v>
      </c>
      <c r="G4" s="300"/>
      <c r="H4" s="204"/>
      <c r="I4" s="204" t="s">
        <v>249</v>
      </c>
      <c r="J4" s="204" t="s">
        <v>104</v>
      </c>
      <c r="K4" s="208"/>
      <c r="L4" s="208"/>
      <c r="M4" s="208"/>
      <c r="N4" s="208"/>
      <c r="O4" s="204" t="s">
        <v>107</v>
      </c>
    </row>
    <row r="5" spans="1:16">
      <c r="A5" s="282" t="s">
        <v>102</v>
      </c>
      <c r="E5" s="91"/>
      <c r="F5" s="281" t="s">
        <v>105</v>
      </c>
      <c r="G5" s="281" t="s">
        <v>106</v>
      </c>
      <c r="H5" s="204" t="s">
        <v>108</v>
      </c>
      <c r="I5" s="204" t="s">
        <v>109</v>
      </c>
      <c r="J5" s="204" t="s">
        <v>110</v>
      </c>
      <c r="K5" s="204" t="s">
        <v>111</v>
      </c>
      <c r="L5" s="204" t="s">
        <v>112</v>
      </c>
      <c r="M5" s="204" t="s">
        <v>235</v>
      </c>
      <c r="N5" s="204" t="s">
        <v>236</v>
      </c>
      <c r="O5" s="204" t="s">
        <v>114</v>
      </c>
    </row>
    <row r="6" spans="1:16">
      <c r="A6" s="301"/>
      <c r="B6" s="421"/>
      <c r="C6" s="421"/>
      <c r="D6" s="421"/>
      <c r="E6" s="225"/>
      <c r="F6" s="204" t="s">
        <v>113</v>
      </c>
      <c r="G6" s="204" t="s">
        <v>113</v>
      </c>
      <c r="H6" s="211">
        <v>6100</v>
      </c>
      <c r="I6" s="211">
        <v>6200</v>
      </c>
      <c r="J6" s="211">
        <v>6500</v>
      </c>
      <c r="K6" s="211">
        <v>6600</v>
      </c>
      <c r="L6" s="211">
        <v>6800</v>
      </c>
      <c r="M6" s="204">
        <v>2024</v>
      </c>
      <c r="N6" s="204">
        <v>2025</v>
      </c>
      <c r="O6" s="204" t="s">
        <v>116</v>
      </c>
    </row>
    <row r="7" spans="1:16">
      <c r="A7" s="302" t="s">
        <v>250</v>
      </c>
      <c r="B7" s="303"/>
      <c r="C7" s="303"/>
      <c r="D7" s="303"/>
      <c r="E7" s="304"/>
      <c r="F7" s="305"/>
      <c r="G7" s="306"/>
      <c r="H7" s="212"/>
      <c r="I7" s="212"/>
      <c r="J7" s="212"/>
      <c r="K7" s="212"/>
      <c r="L7" s="213"/>
      <c r="M7" s="215"/>
      <c r="N7" s="215"/>
      <c r="O7" s="215"/>
    </row>
    <row r="8" spans="1:16">
      <c r="A8" s="53"/>
      <c r="B8" t="s">
        <v>251</v>
      </c>
      <c r="E8" s="407"/>
      <c r="F8" s="307"/>
      <c r="G8" s="308"/>
      <c r="H8" s="226"/>
      <c r="I8" s="226"/>
      <c r="J8" s="226"/>
      <c r="K8" s="226"/>
      <c r="L8" s="218"/>
      <c r="M8" s="226"/>
      <c r="N8" s="226"/>
      <c r="O8" s="219"/>
    </row>
    <row r="9" spans="1:16">
      <c r="A9" s="53"/>
      <c r="C9" t="s">
        <v>118</v>
      </c>
      <c r="E9" s="407">
        <v>1</v>
      </c>
      <c r="F9" s="309">
        <f>[1]!SEIP1071P260F1000PPL</f>
        <v>0</v>
      </c>
      <c r="G9" s="20"/>
      <c r="H9" s="4"/>
      <c r="I9" s="4"/>
      <c r="J9" s="4"/>
      <c r="K9" s="4"/>
      <c r="L9" s="19"/>
      <c r="M9" s="216" cm="1">
        <f t="array" ref="M9">[1]!SEIP1071P260F1000</f>
        <v>0</v>
      </c>
      <c r="N9" s="216">
        <f>SUM(H7:L9)</f>
        <v>0</v>
      </c>
      <c r="O9" s="221" t="str">
        <f>IF(M9=0," ",(N9-M9)/M9)</f>
        <v xml:space="preserve"> </v>
      </c>
      <c r="P9" s="220">
        <v>1</v>
      </c>
    </row>
    <row r="10" spans="1:16">
      <c r="A10" s="53"/>
      <c r="C10" t="s">
        <v>119</v>
      </c>
      <c r="E10" s="407"/>
      <c r="F10" s="215"/>
      <c r="G10" s="306"/>
      <c r="H10" s="212"/>
      <c r="I10" s="212"/>
      <c r="J10" s="212"/>
      <c r="K10" s="212"/>
      <c r="L10" s="213"/>
      <c r="M10" s="215"/>
      <c r="N10" s="215"/>
      <c r="O10" s="215"/>
      <c r="P10" s="220"/>
    </row>
    <row r="11" spans="1:16">
      <c r="A11" s="53"/>
      <c r="C11" t="s">
        <v>252</v>
      </c>
      <c r="E11" s="407">
        <v>2</v>
      </c>
      <c r="F11" s="309">
        <f>[1]!SEIP1071P260F2100PPL</f>
        <v>0</v>
      </c>
      <c r="G11" s="20"/>
      <c r="H11" s="4"/>
      <c r="I11" s="4"/>
      <c r="J11" s="4"/>
      <c r="K11" s="4"/>
      <c r="L11" s="19"/>
      <c r="M11" s="216" cm="1">
        <f t="array" ref="M11">[1]!SEIP1071P260F2100</f>
        <v>0</v>
      </c>
      <c r="N11" s="216">
        <f>SUM(H10:L11)</f>
        <v>0</v>
      </c>
      <c r="O11" s="221" t="str">
        <f>IF(M11=0," ",(N11-M11)/M11)</f>
        <v xml:space="preserve"> </v>
      </c>
      <c r="P11" s="220">
        <v>2</v>
      </c>
    </row>
    <row r="12" spans="1:16">
      <c r="A12" s="53"/>
      <c r="C12" t="s">
        <v>253</v>
      </c>
      <c r="E12" s="224">
        <v>3</v>
      </c>
      <c r="F12" s="309">
        <f>[1]!SEIP1071P260F2200PPL</f>
        <v>0</v>
      </c>
      <c r="G12" s="14"/>
      <c r="H12" s="15"/>
      <c r="I12" s="15"/>
      <c r="J12" s="15"/>
      <c r="K12" s="15"/>
      <c r="L12" s="15"/>
      <c r="M12" s="310" cm="1">
        <f t="array" ref="M12">[1]!SEIP1071P260F2200</f>
        <v>0</v>
      </c>
      <c r="N12" s="216">
        <f t="shared" ref="N12:N17" si="0">SUM(H12:L12)</f>
        <v>0</v>
      </c>
      <c r="O12" s="311" t="str">
        <f t="shared" ref="O12:O18" si="1">IF(M12=0," ",(N12-M12)/M12)</f>
        <v xml:space="preserve"> </v>
      </c>
      <c r="P12" s="222">
        <v>3</v>
      </c>
    </row>
    <row r="13" spans="1:16">
      <c r="A13" s="53"/>
      <c r="C13" t="s">
        <v>254</v>
      </c>
      <c r="E13" s="224">
        <v>4</v>
      </c>
      <c r="F13" s="312">
        <f>[1]!SEIP1071P260F2300PPL</f>
        <v>0</v>
      </c>
      <c r="G13" s="14"/>
      <c r="H13" s="15"/>
      <c r="I13" s="15"/>
      <c r="J13" s="15"/>
      <c r="K13" s="15"/>
      <c r="L13" s="15"/>
      <c r="M13" s="292" cm="1">
        <f t="array" ref="M13">[1]!SEIP1071P260F2300</f>
        <v>0</v>
      </c>
      <c r="N13" s="223">
        <f t="shared" si="0"/>
        <v>0</v>
      </c>
      <c r="O13" s="313" t="str">
        <f t="shared" si="1"/>
        <v xml:space="preserve"> </v>
      </c>
      <c r="P13" s="222">
        <v>4</v>
      </c>
    </row>
    <row r="14" spans="1:16">
      <c r="A14" s="53"/>
      <c r="C14" t="s">
        <v>255</v>
      </c>
      <c r="E14" s="224">
        <v>5</v>
      </c>
      <c r="F14" s="312">
        <f>[1]!SEIP1071P260F2400PPL</f>
        <v>0</v>
      </c>
      <c r="G14" s="14"/>
      <c r="H14" s="15"/>
      <c r="I14" s="15"/>
      <c r="J14" s="15"/>
      <c r="K14" s="15"/>
      <c r="L14" s="15"/>
      <c r="M14" s="292" cm="1">
        <f t="array" ref="M14">[1]!SEIP1071P260F2400</f>
        <v>0</v>
      </c>
      <c r="N14" s="223">
        <f t="shared" si="0"/>
        <v>0</v>
      </c>
      <c r="O14" s="313" t="str">
        <f t="shared" si="1"/>
        <v xml:space="preserve"> </v>
      </c>
      <c r="P14" s="222">
        <v>5</v>
      </c>
    </row>
    <row r="15" spans="1:16">
      <c r="A15" s="53"/>
      <c r="C15" t="s">
        <v>256</v>
      </c>
      <c r="E15" s="224">
        <v>6</v>
      </c>
      <c r="F15" s="312">
        <f>[1]!SEIP1071P260F2500PPL</f>
        <v>0</v>
      </c>
      <c r="G15" s="14"/>
      <c r="H15" s="15"/>
      <c r="I15" s="15"/>
      <c r="J15" s="15"/>
      <c r="K15" s="15"/>
      <c r="L15" s="15"/>
      <c r="M15" s="292" cm="1">
        <f t="array" ref="M15">[1]!SEIP1071P260F2500</f>
        <v>0</v>
      </c>
      <c r="N15" s="223">
        <f t="shared" si="0"/>
        <v>0</v>
      </c>
      <c r="O15" s="313" t="str">
        <f t="shared" si="1"/>
        <v xml:space="preserve"> </v>
      </c>
      <c r="P15" s="222">
        <v>6</v>
      </c>
    </row>
    <row r="16" spans="1:16">
      <c r="A16" s="53"/>
      <c r="C16" t="s">
        <v>257</v>
      </c>
      <c r="E16" s="224">
        <v>7</v>
      </c>
      <c r="F16" s="312">
        <f>[1]!SEIP1071P260F2600PPL</f>
        <v>0</v>
      </c>
      <c r="G16" s="9"/>
      <c r="H16" s="5"/>
      <c r="I16" s="5"/>
      <c r="J16" s="5"/>
      <c r="K16" s="5"/>
      <c r="L16" s="5"/>
      <c r="M16" s="292" cm="1">
        <f t="array" ref="M16">[1]!SEIP1071P260F2600</f>
        <v>0</v>
      </c>
      <c r="N16" s="223">
        <f t="shared" si="0"/>
        <v>0</v>
      </c>
      <c r="O16" s="313" t="str">
        <f t="shared" si="1"/>
        <v xml:space="preserve"> </v>
      </c>
      <c r="P16" s="222">
        <v>7</v>
      </c>
    </row>
    <row r="17" spans="1:16">
      <c r="A17" s="53"/>
      <c r="C17" t="s">
        <v>258</v>
      </c>
      <c r="E17" s="224">
        <v>8</v>
      </c>
      <c r="F17" s="312">
        <f>[1]!SEIP1071P260F2900PPL</f>
        <v>0</v>
      </c>
      <c r="G17" s="10"/>
      <c r="H17" s="4"/>
      <c r="I17" s="4"/>
      <c r="J17" s="4"/>
      <c r="K17" s="4"/>
      <c r="L17" s="4"/>
      <c r="M17" s="292" cm="1">
        <f t="array" ref="M17">[1]!SEIP1071P260F2900</f>
        <v>0</v>
      </c>
      <c r="N17" s="223">
        <f t="shared" si="0"/>
        <v>0</v>
      </c>
      <c r="O17" s="313" t="str">
        <f t="shared" si="1"/>
        <v xml:space="preserve"> </v>
      </c>
      <c r="P17" s="222">
        <v>8</v>
      </c>
    </row>
    <row r="18" spans="1:16">
      <c r="A18" s="420"/>
      <c r="B18" s="421" t="s">
        <v>259</v>
      </c>
      <c r="C18" s="421"/>
      <c r="D18" s="421"/>
      <c r="E18" s="225">
        <v>9</v>
      </c>
      <c r="F18" s="307">
        <f>SUM(F8:F17)</f>
        <v>0</v>
      </c>
      <c r="G18" s="309">
        <f t="shared" ref="G18:L18" si="2">SUM(G7:G17)</f>
        <v>0</v>
      </c>
      <c r="H18" s="216">
        <f t="shared" si="2"/>
        <v>0</v>
      </c>
      <c r="I18" s="216">
        <f t="shared" si="2"/>
        <v>0</v>
      </c>
      <c r="J18" s="216">
        <f t="shared" si="2"/>
        <v>0</v>
      </c>
      <c r="K18" s="216">
        <f t="shared" si="2"/>
        <v>0</v>
      </c>
      <c r="L18" s="216">
        <f t="shared" si="2"/>
        <v>0</v>
      </c>
      <c r="M18" s="226">
        <f>SUM(M8:M17)</f>
        <v>0</v>
      </c>
      <c r="N18" s="226">
        <f>SUM(N8:N17)</f>
        <v>0</v>
      </c>
      <c r="O18" s="314" t="str">
        <f t="shared" si="1"/>
        <v xml:space="preserve"> </v>
      </c>
      <c r="P18" s="220">
        <v>9</v>
      </c>
    </row>
    <row r="19" spans="1:16">
      <c r="A19" s="53"/>
      <c r="B19" t="s">
        <v>260</v>
      </c>
      <c r="E19" s="407"/>
      <c r="F19" s="215"/>
      <c r="G19" s="306"/>
      <c r="H19" s="212"/>
      <c r="I19" s="212"/>
      <c r="J19" s="212"/>
      <c r="K19" s="212"/>
      <c r="L19" s="213"/>
      <c r="M19" s="215"/>
      <c r="N19" s="214"/>
      <c r="O19" s="215"/>
      <c r="P19" s="220"/>
    </row>
    <row r="20" spans="1:16">
      <c r="A20" s="53"/>
      <c r="C20" t="s">
        <v>119</v>
      </c>
      <c r="E20" s="407"/>
      <c r="F20" s="307"/>
      <c r="G20" s="308"/>
      <c r="H20" s="226"/>
      <c r="I20" s="226"/>
      <c r="J20" s="226"/>
      <c r="K20" s="226"/>
      <c r="L20" s="218"/>
      <c r="M20" s="226"/>
      <c r="N20" s="218"/>
      <c r="O20" s="219"/>
      <c r="P20" s="220"/>
    </row>
    <row r="21" spans="1:16">
      <c r="A21" s="53"/>
      <c r="C21" t="s">
        <v>261</v>
      </c>
      <c r="E21" s="407">
        <v>10</v>
      </c>
      <c r="F21" s="309">
        <f>[1]!SEIP1071P430F2700PPL</f>
        <v>0</v>
      </c>
      <c r="G21" s="20"/>
      <c r="H21" s="4"/>
      <c r="I21" s="4"/>
      <c r="J21" s="4"/>
      <c r="K21" s="4"/>
      <c r="L21" s="19"/>
      <c r="M21" s="216" cm="1">
        <f t="array" ref="M21">[1]!SEIP1071P430F2700</f>
        <v>0</v>
      </c>
      <c r="N21" s="217">
        <f>SUM(H19:L21)</f>
        <v>0</v>
      </c>
      <c r="O21" s="221" t="str">
        <f>IF(M21=0," ",(N21-M21)/M21)</f>
        <v xml:space="preserve"> </v>
      </c>
      <c r="P21" s="220">
        <v>10</v>
      </c>
    </row>
    <row r="22" spans="1:16">
      <c r="A22" s="75" t="s">
        <v>262</v>
      </c>
      <c r="B22" s="235"/>
      <c r="C22" s="235"/>
      <c r="D22" s="235"/>
      <c r="E22" s="290">
        <v>11</v>
      </c>
      <c r="F22" s="309">
        <f t="shared" ref="F22:L22" si="3">SUM(F18:F21)</f>
        <v>0</v>
      </c>
      <c r="G22" s="309">
        <f t="shared" si="3"/>
        <v>0</v>
      </c>
      <c r="H22" s="223">
        <f t="shared" si="3"/>
        <v>0</v>
      </c>
      <c r="I22" s="223">
        <f t="shared" si="3"/>
        <v>0</v>
      </c>
      <c r="J22" s="223">
        <f t="shared" si="3"/>
        <v>0</v>
      </c>
      <c r="K22" s="223">
        <f t="shared" si="3"/>
        <v>0</v>
      </c>
      <c r="L22" s="223">
        <f t="shared" si="3"/>
        <v>0</v>
      </c>
      <c r="M22" s="216" cm="1">
        <f t="array" ref="M22">[1]!TotalSEIP</f>
        <v>0</v>
      </c>
      <c r="N22" s="216">
        <f>SUM(N18:N21)</f>
        <v>0</v>
      </c>
      <c r="O22" s="221" t="str">
        <f>IF(M22=0," ",(N22-M22)/M22)</f>
        <v xml:space="preserve"> </v>
      </c>
      <c r="P22" s="222">
        <v>11</v>
      </c>
    </row>
    <row r="24" spans="1:16">
      <c r="A24" s="295"/>
      <c r="B24" s="296"/>
      <c r="C24" s="296"/>
      <c r="D24" s="296"/>
      <c r="E24" s="297"/>
      <c r="F24" s="298" t="s">
        <v>247</v>
      </c>
      <c r="G24" s="278"/>
      <c r="H24" s="215"/>
      <c r="I24" s="215"/>
      <c r="J24" s="281" t="s">
        <v>100</v>
      </c>
      <c r="K24" s="214"/>
      <c r="L24" s="214"/>
      <c r="M24" s="205" t="s">
        <v>101</v>
      </c>
      <c r="N24" s="206"/>
      <c r="O24" s="215"/>
    </row>
    <row r="25" spans="1:16">
      <c r="A25" s="282"/>
      <c r="E25" s="91"/>
      <c r="F25" s="299" t="s">
        <v>248</v>
      </c>
      <c r="G25" s="300"/>
      <c r="H25" s="204"/>
      <c r="I25" s="204" t="s">
        <v>249</v>
      </c>
      <c r="J25" s="204" t="s">
        <v>104</v>
      </c>
      <c r="K25" s="208"/>
      <c r="L25" s="208"/>
      <c r="M25" s="208"/>
      <c r="N25" s="208"/>
      <c r="O25" s="204" t="s">
        <v>107</v>
      </c>
    </row>
    <row r="26" spans="1:16">
      <c r="A26" s="282" t="s">
        <v>102</v>
      </c>
      <c r="E26" s="91"/>
      <c r="F26" s="281" t="s">
        <v>105</v>
      </c>
      <c r="G26" s="281" t="s">
        <v>106</v>
      </c>
      <c r="H26" s="204" t="s">
        <v>108</v>
      </c>
      <c r="I26" s="204" t="s">
        <v>109</v>
      </c>
      <c r="J26" s="204" t="s">
        <v>110</v>
      </c>
      <c r="K26" s="204" t="s">
        <v>111</v>
      </c>
      <c r="L26" s="204" t="s">
        <v>112</v>
      </c>
      <c r="M26" s="204" t="s">
        <v>235</v>
      </c>
      <c r="N26" s="204" t="s">
        <v>236</v>
      </c>
      <c r="O26" s="204" t="s">
        <v>114</v>
      </c>
    </row>
    <row r="27" spans="1:16">
      <c r="A27" s="301"/>
      <c r="B27" s="421"/>
      <c r="C27" s="421"/>
      <c r="D27" s="421"/>
      <c r="E27" s="225"/>
      <c r="F27" s="204" t="s">
        <v>113</v>
      </c>
      <c r="G27" s="204" t="s">
        <v>113</v>
      </c>
      <c r="H27" s="211">
        <v>6100</v>
      </c>
      <c r="I27" s="211">
        <v>6200</v>
      </c>
      <c r="J27" s="211">
        <v>6500</v>
      </c>
      <c r="K27" s="211">
        <v>6600</v>
      </c>
      <c r="L27" s="211">
        <v>6800</v>
      </c>
      <c r="M27" s="204">
        <v>2024</v>
      </c>
      <c r="N27" s="204">
        <v>2025</v>
      </c>
      <c r="O27" s="204" t="s">
        <v>116</v>
      </c>
    </row>
    <row r="28" spans="1:16">
      <c r="A28" s="302" t="s">
        <v>263</v>
      </c>
      <c r="B28" s="315"/>
      <c r="C28" s="315"/>
      <c r="D28" s="315"/>
      <c r="E28" s="316"/>
      <c r="F28" s="215"/>
      <c r="G28" s="306"/>
      <c r="H28" s="212"/>
      <c r="I28" s="212"/>
      <c r="J28" s="212"/>
      <c r="K28" s="212"/>
      <c r="L28" s="213"/>
      <c r="M28" s="215"/>
      <c r="N28" s="215"/>
      <c r="O28" s="215"/>
    </row>
    <row r="29" spans="1:16">
      <c r="A29" s="53"/>
      <c r="B29" t="s">
        <v>264</v>
      </c>
      <c r="E29" s="407"/>
      <c r="F29" s="307"/>
      <c r="G29" s="308"/>
      <c r="H29" s="226"/>
      <c r="I29" s="226"/>
      <c r="J29" s="226"/>
      <c r="K29" s="226"/>
      <c r="L29" s="218"/>
      <c r="M29" s="226"/>
      <c r="N29" s="226"/>
      <c r="O29" s="219"/>
    </row>
    <row r="30" spans="1:16">
      <c r="A30" s="53"/>
      <c r="C30" t="s">
        <v>118</v>
      </c>
      <c r="E30" s="407">
        <v>12</v>
      </c>
      <c r="F30" s="309">
        <f>[1]!CIP1072P265F1000PPL</f>
        <v>0</v>
      </c>
      <c r="G30" s="20"/>
      <c r="H30" s="4"/>
      <c r="I30" s="4"/>
      <c r="J30" s="4"/>
      <c r="K30" s="4"/>
      <c r="L30" s="19"/>
      <c r="M30" s="216" cm="1">
        <f t="array" ref="M30">[1]!CIP1072P265F1000</f>
        <v>0</v>
      </c>
      <c r="N30" s="216">
        <f>SUM(H28:L30)</f>
        <v>0</v>
      </c>
      <c r="O30" s="221" t="str">
        <f>IF(M30=0," ",(N30-M30)/M30)</f>
        <v xml:space="preserve"> </v>
      </c>
      <c r="P30" s="220">
        <v>12</v>
      </c>
    </row>
    <row r="31" spans="1:16">
      <c r="A31" s="53"/>
      <c r="C31" t="s">
        <v>119</v>
      </c>
      <c r="E31" s="407"/>
      <c r="F31" s="215"/>
      <c r="G31" s="306"/>
      <c r="H31" s="212"/>
      <c r="I31" s="212"/>
      <c r="J31" s="212"/>
      <c r="K31" s="212"/>
      <c r="L31" s="213"/>
      <c r="M31" s="215"/>
      <c r="N31" s="215"/>
      <c r="O31" s="215"/>
    </row>
    <row r="32" spans="1:16">
      <c r="A32" s="53"/>
      <c r="C32" t="s">
        <v>252</v>
      </c>
      <c r="E32" s="407">
        <v>13</v>
      </c>
      <c r="F32" s="309">
        <f>[1]!CIP1072P265F2100PPL</f>
        <v>0</v>
      </c>
      <c r="G32" s="20"/>
      <c r="H32" s="4"/>
      <c r="I32" s="4"/>
      <c r="J32" s="4"/>
      <c r="K32" s="4"/>
      <c r="L32" s="19"/>
      <c r="M32" s="216" cm="1">
        <f t="array" ref="M32">[1]!CIP1072P265F2100</f>
        <v>0</v>
      </c>
      <c r="N32" s="216">
        <f>SUM(H31:L32)</f>
        <v>0</v>
      </c>
      <c r="O32" s="221" t="str">
        <f>IF(M32=0," ",(N32-M32)/M32)</f>
        <v xml:space="preserve"> </v>
      </c>
      <c r="P32" s="220">
        <v>13</v>
      </c>
    </row>
    <row r="33" spans="1:16">
      <c r="A33" s="53"/>
      <c r="C33" t="s">
        <v>253</v>
      </c>
      <c r="E33" s="224">
        <v>14</v>
      </c>
      <c r="F33" s="309">
        <f>[1]!CIP1072P265F2200PPL</f>
        <v>0</v>
      </c>
      <c r="G33" s="14"/>
      <c r="H33" s="15"/>
      <c r="I33" s="15"/>
      <c r="J33" s="15"/>
      <c r="K33" s="15"/>
      <c r="L33" s="15"/>
      <c r="M33" s="310" cm="1">
        <f t="array" ref="M33">[1]!CIP1072P265F2200</f>
        <v>0</v>
      </c>
      <c r="N33" s="216">
        <f t="shared" ref="N33:N38" si="4">SUM(H33:L33)</f>
        <v>0</v>
      </c>
      <c r="O33" s="311" t="str">
        <f t="shared" ref="O33:O39" si="5">IF(M33=0," ",(N33-M33)/M33)</f>
        <v xml:space="preserve"> </v>
      </c>
      <c r="P33" s="222">
        <v>14</v>
      </c>
    </row>
    <row r="34" spans="1:16">
      <c r="A34" s="53"/>
      <c r="C34" t="s">
        <v>254</v>
      </c>
      <c r="E34" s="224">
        <v>15</v>
      </c>
      <c r="F34" s="309">
        <f>[1]!CIP1072P265F2300PPL</f>
        <v>0</v>
      </c>
      <c r="G34" s="8"/>
      <c r="H34" s="6"/>
      <c r="I34" s="6"/>
      <c r="J34" s="6"/>
      <c r="K34" s="6"/>
      <c r="L34" s="6"/>
      <c r="M34" s="292" cm="1">
        <f t="array" ref="M34">[1]!CIP1072P265F2300</f>
        <v>0</v>
      </c>
      <c r="N34" s="223">
        <f t="shared" si="4"/>
        <v>0</v>
      </c>
      <c r="O34" s="313" t="str">
        <f t="shared" si="5"/>
        <v xml:space="preserve"> </v>
      </c>
      <c r="P34" s="222">
        <v>15</v>
      </c>
    </row>
    <row r="35" spans="1:16">
      <c r="A35" s="53"/>
      <c r="C35" t="s">
        <v>255</v>
      </c>
      <c r="E35" s="224">
        <v>16</v>
      </c>
      <c r="F35" s="309">
        <f>[1]!CIP1072P265F2400PPL</f>
        <v>0</v>
      </c>
      <c r="G35" s="8"/>
      <c r="H35" s="6"/>
      <c r="I35" s="6"/>
      <c r="J35" s="6"/>
      <c r="K35" s="6"/>
      <c r="L35" s="6"/>
      <c r="M35" s="292" cm="1">
        <f t="array" ref="M35">[1]!CIP1072P265F2400</f>
        <v>0</v>
      </c>
      <c r="N35" s="223">
        <f t="shared" si="4"/>
        <v>0</v>
      </c>
      <c r="O35" s="313" t="str">
        <f t="shared" si="5"/>
        <v xml:space="preserve"> </v>
      </c>
      <c r="P35" s="222">
        <v>16</v>
      </c>
    </row>
    <row r="36" spans="1:16">
      <c r="A36" s="53"/>
      <c r="C36" t="s">
        <v>256</v>
      </c>
      <c r="E36" s="224">
        <v>17</v>
      </c>
      <c r="F36" s="309">
        <f>[1]!CIP1072P265F2500PPL</f>
        <v>0</v>
      </c>
      <c r="G36" s="8"/>
      <c r="H36" s="6"/>
      <c r="I36" s="6"/>
      <c r="J36" s="6"/>
      <c r="K36" s="6"/>
      <c r="L36" s="6"/>
      <c r="M36" s="292" cm="1">
        <f t="array" ref="M36">[1]!CIP1072P265F2500</f>
        <v>0</v>
      </c>
      <c r="N36" s="223">
        <f t="shared" si="4"/>
        <v>0</v>
      </c>
      <c r="O36" s="313" t="str">
        <f t="shared" si="5"/>
        <v xml:space="preserve"> </v>
      </c>
      <c r="P36" s="222">
        <v>17</v>
      </c>
    </row>
    <row r="37" spans="1:16">
      <c r="A37" s="53"/>
      <c r="C37" t="s">
        <v>257</v>
      </c>
      <c r="E37" s="224">
        <v>18</v>
      </c>
      <c r="F37" s="312">
        <f>[1]!CIP1072P265F2600PPL</f>
        <v>0</v>
      </c>
      <c r="G37" s="9"/>
      <c r="H37" s="5"/>
      <c r="I37" s="5"/>
      <c r="J37" s="5"/>
      <c r="K37" s="5"/>
      <c r="L37" s="5"/>
      <c r="M37" s="292" cm="1">
        <f t="array" ref="M37">[1]!CIP1072P265F2600</f>
        <v>0</v>
      </c>
      <c r="N37" s="223">
        <f t="shared" si="4"/>
        <v>0</v>
      </c>
      <c r="O37" s="313" t="str">
        <f t="shared" si="5"/>
        <v xml:space="preserve"> </v>
      </c>
      <c r="P37" s="222">
        <v>18</v>
      </c>
    </row>
    <row r="38" spans="1:16">
      <c r="A38" s="53"/>
      <c r="C38" t="s">
        <v>258</v>
      </c>
      <c r="E38" s="224">
        <v>19</v>
      </c>
      <c r="F38" s="309">
        <f>[1]!CIP1072P265F2900PPL</f>
        <v>0</v>
      </c>
      <c r="G38" s="10"/>
      <c r="H38" s="4"/>
      <c r="I38" s="4"/>
      <c r="J38" s="4"/>
      <c r="K38" s="4"/>
      <c r="L38" s="4"/>
      <c r="M38" s="292" cm="1">
        <f t="array" ref="M38">[1]!CIP1072P265F2900</f>
        <v>0</v>
      </c>
      <c r="N38" s="223">
        <f t="shared" si="4"/>
        <v>0</v>
      </c>
      <c r="O38" s="313" t="str">
        <f t="shared" si="5"/>
        <v xml:space="preserve"> </v>
      </c>
      <c r="P38" s="222">
        <v>19</v>
      </c>
    </row>
    <row r="39" spans="1:16">
      <c r="A39" s="420"/>
      <c r="B39" s="421" t="s">
        <v>265</v>
      </c>
      <c r="C39" s="421"/>
      <c r="D39" s="421"/>
      <c r="E39" s="225">
        <v>20</v>
      </c>
      <c r="F39" s="307">
        <f>SUM(F29:F38)</f>
        <v>0</v>
      </c>
      <c r="G39" s="309">
        <f t="shared" ref="G39:L39" si="6">SUM(G28:G38)</f>
        <v>0</v>
      </c>
      <c r="H39" s="216">
        <f t="shared" si="6"/>
        <v>0</v>
      </c>
      <c r="I39" s="216">
        <f t="shared" si="6"/>
        <v>0</v>
      </c>
      <c r="J39" s="216">
        <f t="shared" si="6"/>
        <v>0</v>
      </c>
      <c r="K39" s="216">
        <f t="shared" si="6"/>
        <v>0</v>
      </c>
      <c r="L39" s="216">
        <f t="shared" si="6"/>
        <v>0</v>
      </c>
      <c r="M39" s="226">
        <f>SUM(M29:M38)</f>
        <v>0</v>
      </c>
      <c r="N39" s="226">
        <f>SUM(N29:N38)</f>
        <v>0</v>
      </c>
      <c r="O39" s="314" t="str">
        <f t="shared" si="5"/>
        <v xml:space="preserve"> </v>
      </c>
      <c r="P39" s="220">
        <v>20</v>
      </c>
    </row>
    <row r="40" spans="1:16">
      <c r="A40" s="53"/>
      <c r="B40" t="s">
        <v>266</v>
      </c>
      <c r="E40" s="407"/>
      <c r="F40" s="215"/>
      <c r="G40" s="306"/>
      <c r="H40" s="212"/>
      <c r="I40" s="212"/>
      <c r="J40" s="212"/>
      <c r="K40" s="212"/>
      <c r="L40" s="213"/>
      <c r="M40" s="215"/>
      <c r="N40" s="215"/>
      <c r="O40" s="215"/>
      <c r="P40" s="220"/>
    </row>
    <row r="41" spans="1:16">
      <c r="A41" s="53"/>
      <c r="C41" t="s">
        <v>119</v>
      </c>
      <c r="E41" s="407"/>
      <c r="F41" s="307"/>
      <c r="G41" s="308"/>
      <c r="H41" s="226"/>
      <c r="I41" s="226"/>
      <c r="J41" s="226"/>
      <c r="K41" s="226"/>
      <c r="L41" s="218"/>
      <c r="M41" s="226"/>
      <c r="N41" s="226"/>
      <c r="O41" s="219"/>
      <c r="P41" s="220"/>
    </row>
    <row r="42" spans="1:16">
      <c r="A42" s="53"/>
      <c r="C42" t="s">
        <v>261</v>
      </c>
      <c r="E42" s="407">
        <v>21</v>
      </c>
      <c r="F42" s="309">
        <f>[1]!CIP1072P435F2700PPL</f>
        <v>0</v>
      </c>
      <c r="G42" s="20"/>
      <c r="H42" s="4"/>
      <c r="I42" s="4"/>
      <c r="J42" s="4"/>
      <c r="K42" s="4"/>
      <c r="L42" s="19"/>
      <c r="M42" s="216" cm="1">
        <f t="array" ref="M42">[1]!CIP1072P435F2700</f>
        <v>0</v>
      </c>
      <c r="N42" s="216">
        <f>SUM(H40:L42)</f>
        <v>0</v>
      </c>
      <c r="O42" s="221" t="str">
        <f>IF(M42=0," ",(N42-M42)/M42)</f>
        <v xml:space="preserve"> </v>
      </c>
      <c r="P42" s="220">
        <v>21</v>
      </c>
    </row>
    <row r="43" spans="1:16">
      <c r="A43" s="75" t="s">
        <v>267</v>
      </c>
      <c r="B43" s="235"/>
      <c r="C43" s="235"/>
      <c r="D43" s="235"/>
      <c r="E43" s="290">
        <v>22</v>
      </c>
      <c r="F43" s="309">
        <f>SUM(F39:F42)</f>
        <v>0</v>
      </c>
      <c r="G43" s="309">
        <f t="shared" ref="G43:L43" si="7">SUM(G39:G42)</f>
        <v>0</v>
      </c>
      <c r="H43" s="223">
        <f t="shared" si="7"/>
        <v>0</v>
      </c>
      <c r="I43" s="223">
        <f t="shared" si="7"/>
        <v>0</v>
      </c>
      <c r="J43" s="223">
        <f t="shared" si="7"/>
        <v>0</v>
      </c>
      <c r="K43" s="223">
        <f t="shared" si="7"/>
        <v>0</v>
      </c>
      <c r="L43" s="223">
        <f t="shared" si="7"/>
        <v>0</v>
      </c>
      <c r="M43" s="216">
        <f>SUM(M39:M42)</f>
        <v>0</v>
      </c>
      <c r="N43" s="216">
        <f>SUM(N39:N42)</f>
        <v>0</v>
      </c>
      <c r="O43" s="221" t="str">
        <f>IF(M43=0," ",(N43-M43)/M43)</f>
        <v xml:space="preserve"> </v>
      </c>
      <c r="P43" s="22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I63" sqref="I63"/>
    </sheetView>
  </sheetViews>
  <sheetFormatPr defaultColWidth="9" defaultRowHeight="12.75"/>
  <cols>
    <col min="1" max="2" width="1.5703125" style="128" customWidth="1"/>
    <col min="3" max="3" width="42" style="128" customWidth="1"/>
    <col min="4" max="5" width="12.5703125" style="128" customWidth="1"/>
    <col min="6" max="6" width="9.5703125" style="128" customWidth="1"/>
    <col min="7" max="7" width="4.5703125" style="128" customWidth="1"/>
    <col min="8" max="8" width="27.42578125" style="128" customWidth="1"/>
    <col min="9" max="9" width="5.42578125" style="128" customWidth="1"/>
    <col min="10" max="10" width="12.5703125" style="128" customWidth="1"/>
    <col min="11" max="11" width="13.5703125" style="128" customWidth="1"/>
    <col min="12" max="12" width="12.5703125" style="128" customWidth="1"/>
    <col min="13" max="13" width="9.5703125" style="128" customWidth="1"/>
    <col min="14" max="17" width="9" style="128" customWidth="1"/>
    <col min="18" max="16384" width="9" style="128"/>
  </cols>
  <sheetData>
    <row r="1" spans="1:13" ht="23.25" customHeight="1">
      <c r="A1" s="494" t="str">
        <f>IF(OR(BudgetVersion="Proposed",BudgetVersion=""),"FY 2025 Summary of charter school proposed budget",IF(BudgetVersion="Adopted","FY 2025 Summary of charter school adopted budget","FY 2025 Summary of charter school revised budget"))</f>
        <v>FY 2025 Summary of charter school adopted budget</v>
      </c>
      <c r="B1" s="494"/>
      <c r="C1" s="494"/>
      <c r="D1" s="494"/>
      <c r="E1" s="494"/>
      <c r="F1" s="494"/>
      <c r="G1" s="494"/>
      <c r="H1" s="494"/>
      <c r="I1" s="494"/>
      <c r="J1" s="494"/>
      <c r="K1" s="39" t="s">
        <v>2</v>
      </c>
      <c r="L1" s="317" t="str">
        <f>CTD</f>
        <v>108714000</v>
      </c>
    </row>
    <row r="2" spans="1:13" ht="3.75" customHeight="1"/>
    <row r="3" spans="1:13" ht="12" customHeight="1">
      <c r="A3" s="295" t="s">
        <v>268</v>
      </c>
      <c r="B3" s="318"/>
      <c r="C3" s="318"/>
      <c r="D3" s="559" t="s">
        <v>101</v>
      </c>
      <c r="E3" s="560"/>
      <c r="F3" s="319" t="s">
        <v>107</v>
      </c>
      <c r="H3" s="550" t="str">
        <f>CONCATENATE("The budget of ",IF(Cover!$D$3=0,Cover!$D$1,(CONCATENATE(Cover!$D$1," (d.b.a. ",Cover!$D$3,")")))," for fiscal year 2025 was officially proposed by the Governing Board on ",TEXT(Cover!$F$20,"mmmm dd, yyyy"),". The complete budget may be reviewed by contacting ",Cover!$O$15," at ",Cover!$M$16," or ",Cover!$P$16,".")</f>
        <v>The budget of Tucson International Academy for fiscal year 2025 was officially proposed by the Governing Board on July 01, 2024. The complete budget may be reviewed by contacting Jennifer Herrera at 5207923255 or jherrera@tiak12.com.</v>
      </c>
      <c r="I3" s="551"/>
      <c r="J3" s="551"/>
      <c r="K3" s="551"/>
      <c r="L3" s="551"/>
      <c r="M3" s="552"/>
    </row>
    <row r="4" spans="1:13" ht="12" customHeight="1">
      <c r="A4" s="320"/>
      <c r="D4" s="281" t="s">
        <v>235</v>
      </c>
      <c r="E4" s="281" t="s">
        <v>236</v>
      </c>
      <c r="F4" s="321" t="s">
        <v>114</v>
      </c>
      <c r="H4" s="553"/>
      <c r="I4" s="554"/>
      <c r="J4" s="554"/>
      <c r="K4" s="554"/>
      <c r="L4" s="554"/>
      <c r="M4" s="555"/>
    </row>
    <row r="5" spans="1:13" ht="12" customHeight="1">
      <c r="A5" s="320" t="s">
        <v>117</v>
      </c>
      <c r="D5" s="211">
        <v>2024</v>
      </c>
      <c r="E5" s="211">
        <v>2025</v>
      </c>
      <c r="F5" s="322" t="s">
        <v>116</v>
      </c>
      <c r="H5" s="553"/>
      <c r="I5" s="554"/>
      <c r="J5" s="554"/>
      <c r="K5" s="554"/>
      <c r="L5" s="554"/>
      <c r="M5" s="555"/>
    </row>
    <row r="6" spans="1:13" ht="12" customHeight="1">
      <c r="A6" s="320"/>
      <c r="B6" s="128" t="s">
        <v>118</v>
      </c>
      <c r="D6" s="323">
        <f>SP1000P100F1000CY</f>
        <v>1240581</v>
      </c>
      <c r="E6" s="323">
        <f>SP1000P100F1000</f>
        <v>1218256</v>
      </c>
      <c r="F6" s="324">
        <f>IF(D6=0," ",(E6-D6)/D6)</f>
        <v>-1.7999999999999999E-2</v>
      </c>
      <c r="H6" s="553"/>
      <c r="I6" s="554"/>
      <c r="J6" s="554"/>
      <c r="K6" s="554"/>
      <c r="L6" s="554"/>
      <c r="M6" s="555"/>
    </row>
    <row r="7" spans="1:13" ht="12" customHeight="1">
      <c r="A7" s="320"/>
      <c r="B7" s="128" t="s">
        <v>119</v>
      </c>
      <c r="D7" s="325"/>
      <c r="E7" s="326"/>
      <c r="F7" s="325"/>
      <c r="H7" s="556"/>
      <c r="I7" s="557"/>
      <c r="J7" s="557"/>
      <c r="K7" s="557"/>
      <c r="L7" s="557"/>
      <c r="M7" s="558"/>
    </row>
    <row r="8" spans="1:13" ht="12" customHeight="1">
      <c r="A8" s="320"/>
      <c r="C8" s="128" t="s">
        <v>269</v>
      </c>
      <c r="D8" s="323">
        <f>SP1000P100F2100CY</f>
        <v>159327</v>
      </c>
      <c r="E8" s="327">
        <f>SP1000P100F2100</f>
        <v>54357</v>
      </c>
      <c r="F8" s="221">
        <f>IF(D8=0," ",(E8-D8)/D8)</f>
        <v>-0.65900000000000003</v>
      </c>
      <c r="H8" s="328"/>
      <c r="I8" s="328"/>
      <c r="J8" s="328"/>
      <c r="K8" s="328"/>
    </row>
    <row r="9" spans="1:13" ht="12" customHeight="1">
      <c r="A9" s="320"/>
      <c r="C9" s="128" t="s">
        <v>270</v>
      </c>
      <c r="D9" s="329">
        <f>SP1000P100F2200CY</f>
        <v>93022</v>
      </c>
      <c r="E9" s="329">
        <f>SP1000P100F2200</f>
        <v>94657</v>
      </c>
      <c r="F9" s="219">
        <f>IF(D9=0," ",(E9-D9)/D9)</f>
        <v>1.7999999999999999E-2</v>
      </c>
      <c r="H9" s="326"/>
      <c r="I9" s="318"/>
      <c r="J9" s="330"/>
      <c r="K9" s="561" t="s">
        <v>101</v>
      </c>
      <c r="L9" s="562"/>
      <c r="M9" s="319" t="s">
        <v>107</v>
      </c>
    </row>
    <row r="10" spans="1:13" ht="12" customHeight="1">
      <c r="A10" s="320"/>
      <c r="C10" s="128" t="s">
        <v>271</v>
      </c>
      <c r="D10" s="329">
        <f>SP1000P100F2300CY</f>
        <v>4000</v>
      </c>
      <c r="E10" s="329">
        <f>SP1000P100F2300</f>
        <v>0</v>
      </c>
      <c r="F10" s="324">
        <f t="shared" ref="F10:F21" si="0">IF(D10=0," ",(E10-D10)/D10)</f>
        <v>-1</v>
      </c>
      <c r="H10" s="331" t="s">
        <v>272</v>
      </c>
      <c r="I10" s="332"/>
      <c r="J10" s="333"/>
      <c r="K10" s="281" t="s">
        <v>235</v>
      </c>
      <c r="L10" s="281" t="s">
        <v>236</v>
      </c>
      <c r="M10" s="321" t="s">
        <v>114</v>
      </c>
    </row>
    <row r="11" spans="1:13" ht="12" customHeight="1">
      <c r="A11" s="320"/>
      <c r="C11" s="128" t="s">
        <v>273</v>
      </c>
      <c r="D11" s="329">
        <f>SP1000P100F2400CY</f>
        <v>913734</v>
      </c>
      <c r="E11" s="329">
        <f>SP1000P100F2400</f>
        <v>704817</v>
      </c>
      <c r="F11" s="324">
        <f t="shared" si="0"/>
        <v>-0.22900000000000001</v>
      </c>
      <c r="H11" s="334"/>
      <c r="I11" s="335"/>
      <c r="J11" s="336"/>
      <c r="K11" s="211">
        <v>2024</v>
      </c>
      <c r="L11" s="211">
        <v>2025</v>
      </c>
      <c r="M11" s="322" t="s">
        <v>116</v>
      </c>
    </row>
    <row r="12" spans="1:13" ht="12" customHeight="1">
      <c r="A12" s="320"/>
      <c r="C12" s="128" t="s">
        <v>274</v>
      </c>
      <c r="D12" s="329">
        <f>SP1000P100F2500CY</f>
        <v>348655</v>
      </c>
      <c r="E12" s="329">
        <f>SP1000P100F2500</f>
        <v>366800</v>
      </c>
      <c r="F12" s="324">
        <f t="shared" si="0"/>
        <v>5.1999999999999998E-2</v>
      </c>
      <c r="H12" s="82" t="s">
        <v>155</v>
      </c>
      <c r="I12" s="39"/>
      <c r="J12" s="91"/>
      <c r="K12" s="323">
        <f>'Page 2'!M5</f>
        <v>383436</v>
      </c>
      <c r="L12" s="323">
        <f>'Page 2'!N5</f>
        <v>383436</v>
      </c>
      <c r="M12" s="324">
        <f t="shared" ref="M12:M19" si="1">IF(K12=0," ",(L12-K12)/K12)</f>
        <v>0</v>
      </c>
    </row>
    <row r="13" spans="1:13" ht="12" customHeight="1">
      <c r="A13" s="320"/>
      <c r="C13" s="128" t="s">
        <v>275</v>
      </c>
      <c r="D13" s="329">
        <f>SP1000P100F2600CY</f>
        <v>1284399</v>
      </c>
      <c r="E13" s="329">
        <f>SP1000P100F2600</f>
        <v>1216293</v>
      </c>
      <c r="F13" s="324">
        <f t="shared" si="0"/>
        <v>-5.2999999999999999E-2</v>
      </c>
      <c r="H13" s="82" t="s">
        <v>157</v>
      </c>
      <c r="I13" s="39"/>
      <c r="J13" s="91"/>
      <c r="K13" s="323">
        <f>P200GiftedEducationCY</f>
        <v>0</v>
      </c>
      <c r="L13" s="329">
        <f>P200GiftedEducation</f>
        <v>0</v>
      </c>
      <c r="M13" s="324" t="str">
        <f t="shared" si="1"/>
        <v xml:space="preserve"> </v>
      </c>
    </row>
    <row r="14" spans="1:13" ht="12" customHeight="1">
      <c r="A14" s="320"/>
      <c r="C14" s="128" t="s">
        <v>276</v>
      </c>
      <c r="D14" s="329">
        <f>SP1000P100F2900CY</f>
        <v>0</v>
      </c>
      <c r="E14" s="329">
        <f>SP1000P100F2900</f>
        <v>0</v>
      </c>
      <c r="F14" s="324" t="str">
        <f t="shared" si="0"/>
        <v xml:space="preserve"> </v>
      </c>
      <c r="H14" s="82" t="s">
        <v>159</v>
      </c>
      <c r="I14" s="39"/>
      <c r="J14" s="91"/>
      <c r="K14" s="323">
        <f>P200ELLIncrementalCostsCY</f>
        <v>0</v>
      </c>
      <c r="L14" s="329">
        <f>P200ELLIncrementalCosts</f>
        <v>0</v>
      </c>
      <c r="M14" s="324" t="str">
        <f t="shared" si="1"/>
        <v xml:space="preserve"> </v>
      </c>
    </row>
    <row r="15" spans="1:13" ht="12" customHeight="1">
      <c r="A15" s="320"/>
      <c r="B15" s="128" t="s">
        <v>127</v>
      </c>
      <c r="D15" s="329">
        <f>SP1000P100F3000CY</f>
        <v>286544</v>
      </c>
      <c r="E15" s="329">
        <f>SP1000P100F3000</f>
        <v>361886</v>
      </c>
      <c r="F15" s="324">
        <f t="shared" si="0"/>
        <v>0.26300000000000001</v>
      </c>
      <c r="H15" s="82" t="s">
        <v>161</v>
      </c>
      <c r="I15" s="39"/>
      <c r="J15" s="91"/>
      <c r="K15" s="329">
        <f>P200ELLCompensatoryInstructionCY</f>
        <v>0</v>
      </c>
      <c r="L15" s="329">
        <f>P200ELLCompensatoryInstruction</f>
        <v>0</v>
      </c>
      <c r="M15" s="324" t="str">
        <f t="shared" si="1"/>
        <v xml:space="preserve"> </v>
      </c>
    </row>
    <row r="16" spans="1:13" ht="12" customHeight="1">
      <c r="A16" s="320"/>
      <c r="B16" s="128" t="s">
        <v>128</v>
      </c>
      <c r="D16" s="329">
        <f>SP1000P100F4000CY</f>
        <v>0</v>
      </c>
      <c r="E16" s="329">
        <f>SP1000P100F4000</f>
        <v>0</v>
      </c>
      <c r="F16" s="324" t="str">
        <f t="shared" si="0"/>
        <v xml:space="preserve"> </v>
      </c>
      <c r="H16" s="82" t="s">
        <v>163</v>
      </c>
      <c r="I16" s="39"/>
      <c r="J16" s="91"/>
      <c r="K16" s="329">
        <f>P200RemedialEducationCY</f>
        <v>0</v>
      </c>
      <c r="L16" s="329">
        <f>P200RemedialEducation</f>
        <v>0</v>
      </c>
      <c r="M16" s="324" t="str">
        <f t="shared" si="1"/>
        <v xml:space="preserve"> </v>
      </c>
    </row>
    <row r="17" spans="1:13" ht="12" customHeight="1">
      <c r="A17" s="320"/>
      <c r="B17" s="128" t="s">
        <v>129</v>
      </c>
      <c r="D17" s="329">
        <f>SP1000P100F5000CY</f>
        <v>0</v>
      </c>
      <c r="E17" s="329">
        <f>SP1000P100F5000</f>
        <v>0</v>
      </c>
      <c r="F17" s="324" t="str">
        <f t="shared" si="0"/>
        <v xml:space="preserve"> </v>
      </c>
      <c r="H17" s="82" t="s">
        <v>165</v>
      </c>
      <c r="I17" s="39"/>
      <c r="J17" s="91"/>
      <c r="K17" s="329">
        <f>P200VocationalandTechnologicalEdCY</f>
        <v>0</v>
      </c>
      <c r="L17" s="329">
        <f>P200VocationalandTechnologicalEd</f>
        <v>0</v>
      </c>
      <c r="M17" s="324" t="str">
        <f t="shared" si="1"/>
        <v xml:space="preserve"> </v>
      </c>
    </row>
    <row r="18" spans="1:13" ht="12" customHeight="1">
      <c r="A18" s="320" t="s">
        <v>130</v>
      </c>
      <c r="D18" s="329">
        <f>SP1000P610CY</f>
        <v>0</v>
      </c>
      <c r="E18" s="329">
        <f>SP1000P610</f>
        <v>0</v>
      </c>
      <c r="F18" s="324" t="str">
        <f t="shared" si="0"/>
        <v xml:space="preserve"> </v>
      </c>
      <c r="H18" s="82" t="s">
        <v>167</v>
      </c>
      <c r="I18" s="39"/>
      <c r="J18" s="91"/>
      <c r="K18" s="337">
        <f>P200CareerEducationCY</f>
        <v>0</v>
      </c>
      <c r="L18" s="337">
        <f>P200CareerEducation</f>
        <v>0</v>
      </c>
      <c r="M18" s="324" t="str">
        <f t="shared" si="1"/>
        <v xml:space="preserve"> </v>
      </c>
    </row>
    <row r="19" spans="1:13" ht="12" customHeight="1">
      <c r="A19" s="320" t="s">
        <v>131</v>
      </c>
      <c r="D19" s="329">
        <f>SP1000P620CY</f>
        <v>0</v>
      </c>
      <c r="E19" s="329">
        <f>SP1000P620</f>
        <v>0</v>
      </c>
      <c r="F19" s="324" t="str">
        <f t="shared" si="0"/>
        <v xml:space="preserve"> </v>
      </c>
      <c r="H19" s="563" t="s">
        <v>277</v>
      </c>
      <c r="I19" s="535"/>
      <c r="J19" s="535"/>
      <c r="K19" s="329">
        <f>SUM(K12:K18)</f>
        <v>383436</v>
      </c>
      <c r="L19" s="329">
        <f>SUM(L12:L18)</f>
        <v>383436</v>
      </c>
      <c r="M19" s="228">
        <f t="shared" si="1"/>
        <v>0</v>
      </c>
    </row>
    <row r="20" spans="1:13" ht="12" customHeight="1">
      <c r="A20" s="320" t="s">
        <v>132</v>
      </c>
      <c r="D20" s="329">
        <f>SP1000P630700800900CY</f>
        <v>71424</v>
      </c>
      <c r="E20" s="329">
        <f>SP1000P630700800900</f>
        <v>43855</v>
      </c>
      <c r="F20" s="324">
        <f t="shared" si="0"/>
        <v>-0.38600000000000001</v>
      </c>
      <c r="H20" s="338"/>
      <c r="I20" s="338"/>
      <c r="K20" s="339"/>
      <c r="L20" s="339"/>
      <c r="M20" s="230"/>
    </row>
    <row r="21" spans="1:13" ht="12" customHeight="1">
      <c r="A21" s="340"/>
      <c r="B21" s="341" t="s">
        <v>278</v>
      </c>
      <c r="C21" s="336"/>
      <c r="D21" s="329">
        <f>SUM(D6:D20)</f>
        <v>4401686</v>
      </c>
      <c r="E21" s="329">
        <f>SUM(E6:E20)</f>
        <v>4060921</v>
      </c>
      <c r="F21" s="324">
        <f t="shared" si="0"/>
        <v>-7.6999999999999999E-2</v>
      </c>
      <c r="H21" s="546" t="s">
        <v>279</v>
      </c>
      <c r="I21" s="547"/>
      <c r="J21" s="547"/>
      <c r="K21" s="547"/>
      <c r="L21" s="548"/>
      <c r="M21" s="230"/>
    </row>
    <row r="22" spans="1:13" ht="12" customHeight="1">
      <c r="A22" s="320" t="s">
        <v>134</v>
      </c>
      <c r="D22" s="325"/>
      <c r="E22" s="326"/>
      <c r="F22" s="325"/>
      <c r="H22" s="320"/>
      <c r="J22" s="565" t="s">
        <v>101</v>
      </c>
      <c r="K22" s="566"/>
      <c r="L22" s="321" t="s">
        <v>107</v>
      </c>
      <c r="M22" s="230"/>
    </row>
    <row r="23" spans="1:13" ht="12" customHeight="1">
      <c r="A23" s="320"/>
      <c r="B23" s="128" t="s">
        <v>118</v>
      </c>
      <c r="D23" s="342">
        <f>SP1000P200F1000CY</f>
        <v>122712</v>
      </c>
      <c r="E23" s="343">
        <f>SP1000P200F1000</f>
        <v>155331</v>
      </c>
      <c r="F23" s="221">
        <f>IF(D23=0," ",(E23-D23)/D23)</f>
        <v>0.26600000000000001</v>
      </c>
      <c r="H23" s="320"/>
      <c r="J23" s="281" t="s">
        <v>235</v>
      </c>
      <c r="K23" s="281" t="s">
        <v>236</v>
      </c>
      <c r="L23" s="321" t="s">
        <v>114</v>
      </c>
      <c r="M23" s="230"/>
    </row>
    <row r="24" spans="1:13" ht="12" customHeight="1">
      <c r="A24" s="320"/>
      <c r="B24" s="128" t="s">
        <v>119</v>
      </c>
      <c r="D24" s="325"/>
      <c r="E24" s="325"/>
      <c r="F24" s="219"/>
      <c r="H24" s="344"/>
      <c r="J24" s="211">
        <v>2024</v>
      </c>
      <c r="K24" s="211">
        <v>2025</v>
      </c>
      <c r="L24" s="322" t="s">
        <v>116</v>
      </c>
      <c r="M24" s="230"/>
    </row>
    <row r="25" spans="1:13" ht="12" customHeight="1">
      <c r="A25" s="320"/>
      <c r="C25" s="128" t="s">
        <v>269</v>
      </c>
      <c r="D25" s="323">
        <f>SP1000P200F2100CY</f>
        <v>226241</v>
      </c>
      <c r="E25" s="323">
        <f>SP1000P200F2100</f>
        <v>77595</v>
      </c>
      <c r="F25" s="221">
        <f t="shared" ref="F25:F41" si="2">IF(D25=0," ",(E25-D25)/D25)</f>
        <v>-0.65700000000000003</v>
      </c>
      <c r="H25" s="345" t="s">
        <v>280</v>
      </c>
      <c r="I25" s="346"/>
      <c r="J25" s="323">
        <f>SP1000TotalCY</f>
        <v>4843126</v>
      </c>
      <c r="K25" s="323">
        <f>SP1000Total</f>
        <v>4498040</v>
      </c>
      <c r="L25" s="228">
        <f>IF(J25=0," ",(K25-J25)/J25)</f>
        <v>-7.0999999999999994E-2</v>
      </c>
      <c r="M25" s="230"/>
    </row>
    <row r="26" spans="1:13" ht="12" customHeight="1">
      <c r="A26" s="320"/>
      <c r="C26" s="128" t="s">
        <v>270</v>
      </c>
      <c r="D26" s="323">
        <f>SP1000P200F2200CY</f>
        <v>34483</v>
      </c>
      <c r="E26" s="323">
        <f>SP1000P200F2200</f>
        <v>91496</v>
      </c>
      <c r="F26" s="219">
        <f t="shared" si="2"/>
        <v>1.653</v>
      </c>
      <c r="H26" s="75" t="s">
        <v>281</v>
      </c>
      <c r="I26" s="346"/>
      <c r="J26" s="329">
        <f>SP1000ClassSiteProjCY</f>
        <v>255259</v>
      </c>
      <c r="K26" s="329">
        <f>SP1000ClassSiteProj</f>
        <v>476291</v>
      </c>
      <c r="L26" s="228">
        <f t="shared" ref="L26:L33" si="3">IF(J26=0," ",(K26-J26)/J26)</f>
        <v>0.86599999999999999</v>
      </c>
      <c r="M26" s="230"/>
    </row>
    <row r="27" spans="1:13" ht="12" customHeight="1">
      <c r="A27" s="320"/>
      <c r="C27" s="128" t="s">
        <v>271</v>
      </c>
      <c r="D27" s="323">
        <f>SP1000P200F2300CY</f>
        <v>0</v>
      </c>
      <c r="E27" s="323">
        <f>SP1000P200F2300</f>
        <v>0</v>
      </c>
      <c r="F27" s="324" t="str">
        <f t="shared" si="2"/>
        <v xml:space="preserve"> </v>
      </c>
      <c r="H27" s="75" t="s">
        <v>282</v>
      </c>
      <c r="I27" s="346"/>
      <c r="J27" s="329">
        <f>SP1000InstrImpProjCY</f>
        <v>40286</v>
      </c>
      <c r="K27" s="329">
        <f>SP1000InstrImpProj</f>
        <v>31988</v>
      </c>
      <c r="L27" s="228">
        <f t="shared" si="3"/>
        <v>-0.20599999999999999</v>
      </c>
      <c r="M27" s="230"/>
    </row>
    <row r="28" spans="1:13" ht="12" customHeight="1">
      <c r="A28" s="320"/>
      <c r="C28" s="128" t="s">
        <v>273</v>
      </c>
      <c r="D28" s="323">
        <f>SP1000P200F2400CY</f>
        <v>0</v>
      </c>
      <c r="E28" s="323">
        <f>SP1000P200F2400</f>
        <v>59014</v>
      </c>
      <c r="F28" s="324" t="str">
        <f t="shared" si="2"/>
        <v xml:space="preserve"> </v>
      </c>
      <c r="H28" s="75" t="s">
        <v>283</v>
      </c>
      <c r="I28" s="346"/>
      <c r="J28" s="329">
        <f>SP1000StruEngImmProjCY</f>
        <v>0</v>
      </c>
      <c r="K28" s="329">
        <f>SP1000StruEngImmProj</f>
        <v>0</v>
      </c>
      <c r="L28" s="228" t="str">
        <f t="shared" si="3"/>
        <v xml:space="preserve"> </v>
      </c>
      <c r="M28" s="230"/>
    </row>
    <row r="29" spans="1:13" ht="12" customHeight="1">
      <c r="A29" s="320"/>
      <c r="C29" s="128" t="s">
        <v>274</v>
      </c>
      <c r="D29" s="323">
        <f>SP1000P200F2500CY</f>
        <v>0</v>
      </c>
      <c r="E29" s="323">
        <f>SP1000P200F2500</f>
        <v>0</v>
      </c>
      <c r="F29" s="324" t="str">
        <f t="shared" si="2"/>
        <v xml:space="preserve"> </v>
      </c>
      <c r="H29" s="75" t="s">
        <v>284</v>
      </c>
      <c r="I29" s="346"/>
      <c r="J29" s="329">
        <f>SP1000CompInstrProjCY</f>
        <v>0</v>
      </c>
      <c r="K29" s="329">
        <f>SP1000CompInstrProj</f>
        <v>0</v>
      </c>
      <c r="L29" s="228" t="str">
        <f t="shared" si="3"/>
        <v xml:space="preserve"> </v>
      </c>
      <c r="M29" s="230"/>
    </row>
    <row r="30" spans="1:13" ht="12" customHeight="1">
      <c r="A30" s="320"/>
      <c r="C30" s="128" t="s">
        <v>275</v>
      </c>
      <c r="D30" s="323">
        <f>SP1000P200F2600CY</f>
        <v>0</v>
      </c>
      <c r="E30" s="323">
        <f>SP1000P200F2600</f>
        <v>0</v>
      </c>
      <c r="F30" s="324" t="str">
        <f t="shared" si="2"/>
        <v xml:space="preserve"> </v>
      </c>
      <c r="H30" s="75" t="s">
        <v>285</v>
      </c>
      <c r="I30" s="346"/>
      <c r="J30" s="329">
        <f>TotalFederalProjectsCY</f>
        <v>723687</v>
      </c>
      <c r="K30" s="329">
        <f>TotalFederalProjects</f>
        <v>421017</v>
      </c>
      <c r="L30" s="228">
        <f t="shared" si="3"/>
        <v>-0.41799999999999998</v>
      </c>
      <c r="M30" s="230"/>
    </row>
    <row r="31" spans="1:13" ht="12" customHeight="1">
      <c r="A31" s="320"/>
      <c r="C31" s="128" t="s">
        <v>276</v>
      </c>
      <c r="D31" s="323">
        <f>SP1000P200F2900CY</f>
        <v>0</v>
      </c>
      <c r="E31" s="323">
        <f>SP1000P200F2900</f>
        <v>0</v>
      </c>
      <c r="F31" s="324" t="str">
        <f t="shared" si="2"/>
        <v xml:space="preserve"> </v>
      </c>
      <c r="H31" s="75" t="s">
        <v>286</v>
      </c>
      <c r="I31" s="346"/>
      <c r="J31" s="329">
        <f>TotalStateProjectsCY</f>
        <v>0</v>
      </c>
      <c r="K31" s="329">
        <f>TotalStateProjects</f>
        <v>0</v>
      </c>
      <c r="L31" s="228" t="str">
        <f t="shared" si="3"/>
        <v xml:space="preserve"> </v>
      </c>
      <c r="M31" s="230"/>
    </row>
    <row r="32" spans="1:13" ht="12" customHeight="1">
      <c r="A32" s="320"/>
      <c r="B32" s="128" t="s">
        <v>127</v>
      </c>
      <c r="D32" s="323">
        <f>SP1000P200F3000CY</f>
        <v>0</v>
      </c>
      <c r="E32" s="323">
        <f>SP1000P200F3000</f>
        <v>0</v>
      </c>
      <c r="F32" s="324" t="str">
        <f t="shared" si="2"/>
        <v xml:space="preserve"> </v>
      </c>
      <c r="H32" s="75" t="s">
        <v>222</v>
      </c>
      <c r="I32" s="346"/>
      <c r="J32" s="329">
        <f>TotalCapitalAcquisitionsCY</f>
        <v>77000</v>
      </c>
      <c r="K32" s="329">
        <f>TotalCapitalAcquisitions</f>
        <v>0</v>
      </c>
      <c r="L32" s="228">
        <f t="shared" si="3"/>
        <v>-1</v>
      </c>
      <c r="M32" s="230"/>
    </row>
    <row r="33" spans="1:14" ht="12" customHeight="1">
      <c r="A33" s="320"/>
      <c r="B33" s="128" t="s">
        <v>128</v>
      </c>
      <c r="D33" s="323">
        <f>SP1000P200F4000CY</f>
        <v>0</v>
      </c>
      <c r="E33" s="323">
        <f>SP1000P200F4000</f>
        <v>0</v>
      </c>
      <c r="F33" s="324" t="str">
        <f t="shared" si="2"/>
        <v xml:space="preserve"> </v>
      </c>
      <c r="H33" s="75" t="s">
        <v>287</v>
      </c>
      <c r="I33" s="346"/>
      <c r="J33" s="329">
        <f>SUM(J25:J32)</f>
        <v>5939358</v>
      </c>
      <c r="K33" s="329">
        <f>SUM(K25:K32)</f>
        <v>5427336</v>
      </c>
      <c r="L33" s="228">
        <f t="shared" si="3"/>
        <v>-8.5999999999999993E-2</v>
      </c>
    </row>
    <row r="34" spans="1:14" ht="12" customHeight="1">
      <c r="A34" s="320"/>
      <c r="B34" s="128" t="s">
        <v>129</v>
      </c>
      <c r="D34" s="323">
        <f>SP1000P200F5000CY</f>
        <v>0</v>
      </c>
      <c r="E34" s="323">
        <f>SP1000P200F5000</f>
        <v>0</v>
      </c>
      <c r="F34" s="324" t="str">
        <f t="shared" si="2"/>
        <v xml:space="preserve"> </v>
      </c>
    </row>
    <row r="35" spans="1:14" ht="12" customHeight="1">
      <c r="A35" s="320"/>
      <c r="B35" s="128" t="s">
        <v>288</v>
      </c>
      <c r="C35" s="333"/>
      <c r="D35" s="337">
        <f>SUM(D23:D34)</f>
        <v>383436</v>
      </c>
      <c r="E35" s="337">
        <f>SUM(E23:E34)</f>
        <v>383436</v>
      </c>
      <c r="F35" s="324">
        <f t="shared" si="2"/>
        <v>0</v>
      </c>
      <c r="H35" s="549" t="s">
        <v>289</v>
      </c>
      <c r="I35" s="549"/>
      <c r="J35" s="549"/>
      <c r="K35" s="549"/>
      <c r="L35" s="549"/>
      <c r="M35" s="567" t="str">
        <f>IF(L37&lt;1,"Enter average salary on the budget Cover","")</f>
        <v/>
      </c>
      <c r="N35" s="347"/>
    </row>
    <row r="36" spans="1:14" ht="0.75" customHeight="1">
      <c r="A36" s="340" t="s">
        <v>290</v>
      </c>
      <c r="B36" s="341"/>
      <c r="C36" s="336"/>
      <c r="D36" s="323"/>
      <c r="E36" s="323"/>
      <c r="F36" s="221"/>
      <c r="J36" s="348"/>
      <c r="K36" s="348"/>
      <c r="L36" s="348"/>
      <c r="M36" s="567"/>
      <c r="N36" s="347"/>
    </row>
    <row r="37" spans="1:14" ht="12" customHeight="1">
      <c r="A37" s="345" t="s">
        <v>137</v>
      </c>
      <c r="B37" s="346"/>
      <c r="C37" s="349"/>
      <c r="D37" s="329">
        <f>SP1000P400CY</f>
        <v>8500</v>
      </c>
      <c r="E37" s="329">
        <f>SP1000P400</f>
        <v>8220</v>
      </c>
      <c r="F37" s="228">
        <f t="shared" si="2"/>
        <v>-3.3000000000000002E-2</v>
      </c>
      <c r="H37" s="564" t="s">
        <v>291</v>
      </c>
      <c r="I37" s="564"/>
      <c r="J37" s="564"/>
      <c r="K37" s="564"/>
      <c r="L37" s="223">
        <f>BudgetYearSalary</f>
        <v>44267</v>
      </c>
      <c r="M37" s="567"/>
      <c r="N37" s="347"/>
    </row>
    <row r="38" spans="1:14" ht="12" customHeight="1">
      <c r="A38" s="345" t="s">
        <v>138</v>
      </c>
      <c r="B38" s="346"/>
      <c r="C38" s="349"/>
      <c r="D38" s="329">
        <f>SP1000P530CY</f>
        <v>0</v>
      </c>
      <c r="E38" s="329">
        <f>SP1000P530</f>
        <v>0</v>
      </c>
      <c r="F38" s="228" t="str">
        <f t="shared" si="2"/>
        <v xml:space="preserve"> </v>
      </c>
      <c r="H38" s="564" t="s">
        <v>292</v>
      </c>
      <c r="I38" s="564"/>
      <c r="J38" s="564"/>
      <c r="K38" s="564"/>
      <c r="L38" s="223">
        <f>PriorYearSalary</f>
        <v>40034</v>
      </c>
      <c r="M38" s="567"/>
      <c r="N38" s="347"/>
    </row>
    <row r="39" spans="1:14" ht="12" customHeight="1">
      <c r="A39" s="345" t="s">
        <v>293</v>
      </c>
      <c r="B39" s="346"/>
      <c r="C39" s="349"/>
      <c r="D39" s="329">
        <f>SP1000P540CY</f>
        <v>0</v>
      </c>
      <c r="E39" s="329">
        <f>SP1000P540</f>
        <v>0</v>
      </c>
      <c r="F39" s="228" t="str">
        <f t="shared" si="2"/>
        <v xml:space="preserve"> </v>
      </c>
      <c r="H39" s="564" t="s">
        <v>294</v>
      </c>
      <c r="I39" s="564"/>
      <c r="J39" s="564"/>
      <c r="K39" s="564"/>
      <c r="L39" s="223">
        <f>SalaryIncreaseFromPriorYear</f>
        <v>4233</v>
      </c>
      <c r="M39" s="567"/>
      <c r="N39" s="347"/>
    </row>
    <row r="40" spans="1:14" ht="12" customHeight="1">
      <c r="A40" s="340" t="s">
        <v>140</v>
      </c>
      <c r="B40" s="341"/>
      <c r="C40" s="336"/>
      <c r="D40" s="329">
        <f>SP1000P550CY</f>
        <v>49504</v>
      </c>
      <c r="E40" s="329">
        <f>SP1000P550</f>
        <v>45463</v>
      </c>
      <c r="F40" s="228">
        <f t="shared" si="2"/>
        <v>-8.2000000000000003E-2</v>
      </c>
      <c r="H40" s="564" t="s">
        <v>295</v>
      </c>
      <c r="I40" s="564"/>
      <c r="J40" s="564"/>
      <c r="K40" s="564"/>
      <c r="L40" s="313">
        <f>SalaryPercentageIncrease</f>
        <v>0.106</v>
      </c>
      <c r="M40" s="567"/>
      <c r="N40" s="347"/>
    </row>
    <row r="41" spans="1:14" ht="12" customHeight="1">
      <c r="A41" s="340"/>
      <c r="B41" s="341"/>
      <c r="C41" s="336" t="s">
        <v>277</v>
      </c>
      <c r="D41" s="323">
        <f>SUM(D35:D40)+D21</f>
        <v>4843126</v>
      </c>
      <c r="E41" s="323">
        <f>SUM(E35:E40)+E21</f>
        <v>4498040</v>
      </c>
      <c r="F41" s="228">
        <f t="shared" si="2"/>
        <v>-7.0999999999999994E-2</v>
      </c>
      <c r="H41" s="568" t="str">
        <f>IF(AverageSalaryCalculationComment&lt;&gt;"",AverageSalaryCalculationComment,"")</f>
        <v xml:space="preserve">The salaries do not include stipends or prop performance. </v>
      </c>
      <c r="I41" s="569"/>
      <c r="J41" s="569"/>
      <c r="K41" s="569"/>
      <c r="L41" s="570"/>
      <c r="M41" s="567"/>
    </row>
    <row r="42" spans="1:14" ht="12" customHeight="1">
      <c r="D42" s="339"/>
      <c r="E42" s="339"/>
      <c r="F42" s="230"/>
      <c r="H42" s="571"/>
      <c r="I42" s="572"/>
      <c r="J42" s="572"/>
      <c r="K42" s="572"/>
      <c r="L42" s="573"/>
      <c r="M42" s="567"/>
    </row>
    <row r="43" spans="1:14" ht="12" customHeight="1">
      <c r="H43" s="571"/>
      <c r="I43" s="572"/>
      <c r="J43" s="572"/>
      <c r="K43" s="572"/>
      <c r="L43" s="573"/>
      <c r="M43" s="567"/>
    </row>
    <row r="44" spans="1:14" ht="12" customHeight="1">
      <c r="H44" s="571"/>
      <c r="I44" s="572"/>
      <c r="J44" s="572"/>
      <c r="K44" s="572"/>
      <c r="L44" s="573"/>
      <c r="M44" s="567"/>
    </row>
    <row r="45" spans="1:14" ht="12" customHeight="1">
      <c r="H45" s="571"/>
      <c r="I45" s="572"/>
      <c r="J45" s="572"/>
      <c r="K45" s="572"/>
      <c r="L45" s="573"/>
      <c r="M45" s="567"/>
    </row>
    <row r="46" spans="1:14" ht="12" customHeight="1">
      <c r="H46" s="571"/>
      <c r="I46" s="572"/>
      <c r="J46" s="572"/>
      <c r="K46" s="572"/>
      <c r="L46" s="573"/>
      <c r="M46" s="350"/>
    </row>
    <row r="47" spans="1:14" ht="12" customHeight="1">
      <c r="H47" s="574"/>
      <c r="I47" s="575"/>
      <c r="J47" s="575"/>
      <c r="K47" s="575"/>
      <c r="L47" s="576"/>
      <c r="M47" s="350"/>
    </row>
    <row r="48" spans="1:14" ht="12.75" customHeight="1"/>
    <row r="49" spans="8:8" ht="12.75" customHeight="1"/>
    <row r="50" spans="8:8" ht="12.75" customHeight="1"/>
    <row r="51" spans="8:8" ht="12.75" customHeight="1"/>
    <row r="52" spans="8:8" ht="12.75" customHeight="1"/>
    <row r="53" spans="8:8" ht="12.75" customHeight="1">
      <c r="H53" s="351"/>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sheetPr>
    <pageSetUpPr fitToPage="1"/>
  </sheetPr>
  <dimension ref="A1:BO35"/>
  <sheetViews>
    <sheetView showGridLines="0" workbookViewId="0">
      <selection activeCell="F26" sqref="F26"/>
    </sheetView>
  </sheetViews>
  <sheetFormatPr defaultColWidth="8" defaultRowHeight="12.75"/>
  <cols>
    <col min="1" max="1" width="13.7109375" customWidth="1"/>
    <col min="2" max="2" width="107.28515625" customWidth="1"/>
    <col min="3" max="5" width="15.5703125" customWidth="1"/>
    <col min="6" max="6" width="19.140625" customWidth="1"/>
    <col min="7" max="7" width="15.5703125" customWidth="1"/>
    <col min="8" max="8" width="17.5703125" customWidth="1"/>
    <col min="9" max="9" width="10.140625" customWidth="1"/>
  </cols>
  <sheetData>
    <row r="1" spans="1:67" s="444" customFormat="1">
      <c r="A1" t="s">
        <v>0</v>
      </c>
      <c r="B1" s="353" t="str">
        <f>CharterName</f>
        <v>Tucson International Academy</v>
      </c>
      <c r="D1" s="425" t="s">
        <v>1</v>
      </c>
      <c r="E1" s="426" t="str">
        <f>Cover!M1</f>
        <v>Pima</v>
      </c>
      <c r="G1" s="425" t="s">
        <v>2</v>
      </c>
      <c r="H1" s="414" t="str">
        <f>CTD</f>
        <v>108714000</v>
      </c>
      <c r="J1"/>
      <c r="M1" s="39"/>
      <c r="N1" s="405"/>
      <c r="R1" s="445"/>
      <c r="S1" s="445"/>
      <c r="T1" s="445"/>
      <c r="U1" s="445"/>
      <c r="V1" s="446"/>
      <c r="W1" s="446"/>
      <c r="X1" s="446"/>
      <c r="Y1" s="446"/>
      <c r="Z1" s="446"/>
      <c r="AA1" s="446"/>
      <c r="AB1" s="446"/>
      <c r="AC1" s="446"/>
      <c r="AD1" s="447"/>
      <c r="AE1" s="447"/>
      <c r="AF1" s="447"/>
      <c r="AG1" s="447"/>
      <c r="AH1" s="447"/>
      <c r="AI1" s="447"/>
      <c r="AJ1" s="445"/>
      <c r="AK1" s="445"/>
      <c r="AL1" s="445"/>
      <c r="AM1" s="445"/>
      <c r="AN1" s="445"/>
      <c r="AO1" s="445"/>
      <c r="AP1" s="445"/>
      <c r="AQ1" s="445"/>
      <c r="AR1" s="445"/>
      <c r="AS1" s="445"/>
      <c r="AT1" s="445"/>
      <c r="AU1" s="445"/>
      <c r="AV1" s="445"/>
    </row>
    <row r="2" spans="1:67" s="444" customFormat="1">
      <c r="B2" s="448"/>
      <c r="C2" s="449"/>
      <c r="D2" s="449"/>
      <c r="E2" s="449"/>
      <c r="G2" s="448"/>
      <c r="H2" s="449"/>
      <c r="I2" s="449"/>
      <c r="J2" s="450"/>
      <c r="K2" s="448"/>
      <c r="L2" s="427"/>
      <c r="M2" s="449"/>
      <c r="N2" s="449"/>
      <c r="O2" s="451"/>
      <c r="P2" s="452"/>
      <c r="R2" s="445"/>
      <c r="S2" s="445"/>
      <c r="T2" s="445"/>
      <c r="U2" s="445"/>
      <c r="V2" s="446"/>
      <c r="W2" s="446"/>
      <c r="X2" s="446"/>
      <c r="Y2" s="446"/>
      <c r="Z2" s="446"/>
      <c r="AA2" s="446"/>
      <c r="AB2" s="446"/>
      <c r="AC2" s="446"/>
      <c r="AD2" s="447"/>
      <c r="AE2" s="447"/>
      <c r="AF2" s="447"/>
      <c r="AG2" s="447"/>
      <c r="AH2" s="447"/>
      <c r="AI2" s="447"/>
      <c r="AJ2" s="445"/>
      <c r="AK2" s="445"/>
      <c r="AL2" s="445"/>
      <c r="AM2" s="445"/>
      <c r="AN2" s="445"/>
      <c r="AO2" s="445"/>
      <c r="AP2" s="445"/>
      <c r="AQ2" s="445"/>
      <c r="AR2" s="445"/>
      <c r="AS2" s="445"/>
      <c r="AT2" s="445"/>
      <c r="AU2" s="445"/>
      <c r="AV2" s="445"/>
    </row>
    <row r="3" spans="1:67" s="453" customFormat="1" ht="25.5" customHeight="1">
      <c r="A3" s="577" t="s">
        <v>296</v>
      </c>
      <c r="B3" s="577"/>
      <c r="C3" s="577"/>
      <c r="D3" s="577"/>
      <c r="E3" s="577"/>
      <c r="F3" s="577"/>
      <c r="G3" s="577"/>
      <c r="H3" s="577"/>
      <c r="J3" s="454"/>
      <c r="K3" s="455"/>
      <c r="L3" s="428"/>
      <c r="Q3" s="456"/>
      <c r="R3" s="457"/>
      <c r="S3" s="457"/>
      <c r="T3" s="457"/>
      <c r="U3" s="457"/>
      <c r="V3" s="457"/>
      <c r="W3" s="457"/>
      <c r="X3" s="457"/>
      <c r="Y3" s="457"/>
      <c r="Z3" s="457"/>
      <c r="AA3" s="457"/>
      <c r="AB3" s="457"/>
      <c r="AC3" s="457"/>
      <c r="AD3" s="457"/>
      <c r="AE3" s="457"/>
      <c r="AF3" s="457"/>
      <c r="AG3" s="458"/>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row>
    <row r="4" spans="1:67" s="453" customFormat="1" ht="16.5" customHeight="1">
      <c r="A4" s="459"/>
      <c r="B4" s="459"/>
      <c r="C4" s="459"/>
      <c r="D4" s="459"/>
      <c r="E4" s="459"/>
      <c r="F4" s="459"/>
      <c r="G4" s="459"/>
      <c r="H4" s="459"/>
      <c r="J4" s="454"/>
      <c r="K4" s="455"/>
      <c r="L4" s="428"/>
      <c r="Q4" s="456"/>
      <c r="R4" s="457"/>
      <c r="S4" s="457"/>
      <c r="T4" s="457"/>
      <c r="U4" s="457"/>
      <c r="V4" s="457"/>
      <c r="W4" s="457"/>
      <c r="X4" s="457"/>
      <c r="Y4" s="457"/>
      <c r="Z4" s="457"/>
      <c r="AA4" s="457"/>
      <c r="AB4" s="457"/>
      <c r="AC4" s="457"/>
      <c r="AD4" s="457"/>
      <c r="AE4" s="457"/>
      <c r="AF4" s="457"/>
      <c r="AG4" s="458"/>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row>
    <row r="5" spans="1:67">
      <c r="A5" s="578" t="s">
        <v>297</v>
      </c>
      <c r="B5" s="578"/>
      <c r="C5" s="352"/>
    </row>
    <row r="6" spans="1:67">
      <c r="A6" s="352"/>
      <c r="B6" s="352"/>
      <c r="C6" s="460" t="s">
        <v>537</v>
      </c>
      <c r="R6" s="150" t="s">
        <v>298</v>
      </c>
    </row>
    <row r="7" spans="1:67" ht="8.25" customHeight="1">
      <c r="A7" s="433"/>
      <c r="B7" s="352"/>
      <c r="C7" s="439"/>
    </row>
    <row r="8" spans="1:67">
      <c r="A8" s="434" t="s">
        <v>6</v>
      </c>
      <c r="B8" s="461" t="s">
        <v>299</v>
      </c>
      <c r="C8" s="435">
        <v>1712242</v>
      </c>
    </row>
    <row r="9" spans="1:67" ht="15" customHeight="1">
      <c r="A9" s="436"/>
      <c r="B9" s="432" t="s">
        <v>300</v>
      </c>
      <c r="C9" s="437"/>
    </row>
    <row r="10" spans="1:67">
      <c r="A10" s="438"/>
      <c r="B10" s="352"/>
      <c r="C10" s="439"/>
    </row>
    <row r="11" spans="1:67">
      <c r="A11" s="434" t="s">
        <v>10</v>
      </c>
      <c r="B11" s="433" t="s">
        <v>301</v>
      </c>
      <c r="C11" s="352"/>
    </row>
    <row r="12" spans="1:67">
      <c r="A12" s="434"/>
      <c r="B12" s="461" t="s">
        <v>302</v>
      </c>
      <c r="C12" s="435">
        <v>5897439</v>
      </c>
    </row>
    <row r="13" spans="1:67">
      <c r="A13" s="434"/>
      <c r="B13" s="461" t="s">
        <v>303</v>
      </c>
      <c r="C13" s="435">
        <v>6017922</v>
      </c>
    </row>
    <row r="14" spans="1:67">
      <c r="A14" s="434"/>
      <c r="B14" s="432"/>
      <c r="C14" s="440"/>
    </row>
    <row r="15" spans="1:67">
      <c r="A15" s="434" t="s">
        <v>187</v>
      </c>
      <c r="B15" s="433" t="s">
        <v>304</v>
      </c>
      <c r="C15" s="441">
        <f>C8+C12-C13</f>
        <v>1591759</v>
      </c>
    </row>
    <row r="16" spans="1:67">
      <c r="A16" s="442"/>
      <c r="B16" s="461" t="s">
        <v>538</v>
      </c>
      <c r="C16" s="435">
        <v>0</v>
      </c>
    </row>
    <row r="17" spans="1:8">
      <c r="A17" s="442"/>
      <c r="B17" s="461" t="s">
        <v>539</v>
      </c>
      <c r="C17" s="435">
        <v>1591759</v>
      </c>
    </row>
    <row r="18" spans="1:8">
      <c r="A18" s="442"/>
      <c r="B18" t="s">
        <v>305</v>
      </c>
      <c r="C18" s="441">
        <f>C16+C17</f>
        <v>1591759</v>
      </c>
    </row>
    <row r="19" spans="1:8">
      <c r="A19" s="434"/>
      <c r="B19" s="433"/>
      <c r="C19" s="443"/>
    </row>
    <row r="20" spans="1:8">
      <c r="A20" s="434" t="s">
        <v>190</v>
      </c>
      <c r="B20" s="433" t="s">
        <v>306</v>
      </c>
      <c r="C20" s="443"/>
    </row>
    <row r="21" spans="1:8">
      <c r="A21" s="434"/>
      <c r="B21" s="461" t="s">
        <v>307</v>
      </c>
      <c r="C21" s="435">
        <v>0</v>
      </c>
    </row>
    <row r="22" spans="1:8">
      <c r="A22" s="434"/>
      <c r="B22" s="462" t="s">
        <v>308</v>
      </c>
      <c r="C22" s="435">
        <v>0</v>
      </c>
    </row>
    <row r="23" spans="1:8">
      <c r="A23" s="434"/>
      <c r="B23" s="462" t="s">
        <v>309</v>
      </c>
      <c r="C23" s="435">
        <v>0</v>
      </c>
    </row>
    <row r="24" spans="1:8">
      <c r="A24" s="434"/>
      <c r="B24" s="461" t="s">
        <v>310</v>
      </c>
      <c r="C24" s="435">
        <v>1591759</v>
      </c>
    </row>
    <row r="25" spans="1:8">
      <c r="A25" s="431"/>
      <c r="B25" s="352" t="s">
        <v>311</v>
      </c>
      <c r="C25" s="441">
        <f>SUM(C21:C24)</f>
        <v>1591759</v>
      </c>
    </row>
    <row r="26" spans="1:8">
      <c r="A26" s="442"/>
      <c r="B26" s="352"/>
    </row>
    <row r="27" spans="1:8">
      <c r="A27" s="442"/>
      <c r="B27" s="352"/>
      <c r="C27" s="352"/>
    </row>
    <row r="28" spans="1:8" ht="14.25" customHeight="1">
      <c r="A28" s="434" t="s">
        <v>193</v>
      </c>
      <c r="B28" s="461" t="s">
        <v>312</v>
      </c>
      <c r="C28" s="352"/>
      <c r="D28" s="412"/>
      <c r="E28" s="412"/>
      <c r="F28" s="412"/>
      <c r="G28" s="412"/>
      <c r="H28" s="412"/>
    </row>
    <row r="29" spans="1:8">
      <c r="A29" s="579"/>
      <c r="B29" s="580"/>
      <c r="C29" s="581"/>
    </row>
    <row r="30" spans="1:8">
      <c r="A30" s="582"/>
      <c r="B30" s="583"/>
      <c r="C30" s="584"/>
    </row>
    <row r="31" spans="1:8">
      <c r="A31" s="582"/>
      <c r="B31" s="583"/>
      <c r="C31" s="584"/>
    </row>
    <row r="32" spans="1:8">
      <c r="A32" s="582"/>
      <c r="B32" s="583"/>
      <c r="C32" s="584"/>
    </row>
    <row r="33" spans="1:3">
      <c r="A33" s="582"/>
      <c r="B33" s="583"/>
      <c r="C33" s="584"/>
    </row>
    <row r="34" spans="1:3">
      <c r="A34" s="582"/>
      <c r="B34" s="583"/>
      <c r="C34" s="584"/>
    </row>
    <row r="35" spans="1:3">
      <c r="A35" s="585"/>
      <c r="B35" s="586"/>
      <c r="C35" s="587"/>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93"/>
  <sheetViews>
    <sheetView showGridLines="0" topLeftCell="A72" zoomScaleSheetLayoutView="100" workbookViewId="0">
      <selection activeCell="O29" sqref="O29"/>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0</v>
      </c>
      <c r="B1" s="352"/>
      <c r="C1" s="352"/>
      <c r="D1" s="352"/>
      <c r="E1" s="353" t="str">
        <f>CharterName</f>
        <v>Tucson International Academy</v>
      </c>
      <c r="F1" s="354"/>
      <c r="G1" s="39"/>
      <c r="I1" s="39"/>
      <c r="K1" s="425" t="s">
        <v>1</v>
      </c>
      <c r="L1" s="426" t="str">
        <f>Cover!M1</f>
        <v>Pima</v>
      </c>
      <c r="M1" s="413"/>
      <c r="N1" s="405"/>
      <c r="O1" s="425" t="s">
        <v>2</v>
      </c>
      <c r="P1" s="414" t="str">
        <f>CTD</f>
        <v>108714000</v>
      </c>
    </row>
    <row r="2" spans="1:29" ht="24.75" customHeight="1"/>
    <row r="4" spans="1:29" ht="15.75">
      <c r="A4" s="355" t="s">
        <v>313</v>
      </c>
      <c r="C4" s="178"/>
      <c r="D4" s="238"/>
      <c r="E4" s="94"/>
      <c r="F4" s="94"/>
      <c r="Q4" s="494"/>
      <c r="R4" s="494"/>
      <c r="S4" s="494"/>
      <c r="T4" s="494"/>
      <c r="U4" s="494"/>
      <c r="V4" s="494"/>
      <c r="W4" s="494"/>
      <c r="X4" s="494"/>
      <c r="Y4" s="494"/>
      <c r="Z4" s="494"/>
      <c r="AA4" s="494"/>
      <c r="AB4" s="494"/>
      <c r="AC4" s="494"/>
    </row>
    <row r="6" spans="1:29" s="148" customFormat="1" ht="114" customHeight="1">
      <c r="A6" s="356" t="str">
        <f>IF(B8="X","X",IF(B9="x","x",IF(B10="X","X",IF(B11="X","X",""))))</f>
        <v/>
      </c>
      <c r="B6" s="588" t="s">
        <v>314</v>
      </c>
      <c r="C6" s="588"/>
      <c r="D6" s="588"/>
      <c r="E6" s="588"/>
      <c r="F6" s="588"/>
      <c r="G6" s="588"/>
      <c r="H6" s="588"/>
      <c r="I6" s="588"/>
      <c r="J6" s="588"/>
      <c r="K6" s="588"/>
      <c r="L6" s="588"/>
      <c r="M6" s="588"/>
      <c r="N6" s="588"/>
      <c r="O6" s="357"/>
    </row>
    <row r="7" spans="1:29">
      <c r="J7" s="197"/>
      <c r="K7" s="197"/>
      <c r="L7" s="197"/>
      <c r="M7" s="549" t="s">
        <v>315</v>
      </c>
      <c r="N7" s="549"/>
    </row>
    <row r="8" spans="1:29" ht="38.25" customHeight="1">
      <c r="A8" s="238"/>
      <c r="B8" s="26"/>
      <c r="D8" s="605" t="s">
        <v>317</v>
      </c>
      <c r="E8" s="605"/>
      <c r="F8" s="605"/>
      <c r="G8" s="605"/>
      <c r="H8" s="605"/>
      <c r="I8" s="605"/>
      <c r="J8" s="605" t="str">
        <f>IF(B8&lt;&gt;"x","No additional information required","Please enter the name of the management company.")</f>
        <v>No additional information required</v>
      </c>
      <c r="K8" s="605"/>
      <c r="L8" s="605"/>
      <c r="M8" s="608"/>
      <c r="N8" s="608"/>
      <c r="O8" s="415"/>
      <c r="Q8" s="150" t="s">
        <v>316</v>
      </c>
    </row>
    <row r="9" spans="1:29" ht="39" customHeight="1" thickBot="1">
      <c r="A9" s="238"/>
      <c r="B9" s="27"/>
      <c r="D9" s="605" t="s">
        <v>318</v>
      </c>
      <c r="E9" s="605"/>
      <c r="F9" s="605"/>
      <c r="G9" s="605"/>
      <c r="H9" s="605"/>
      <c r="I9" s="605"/>
      <c r="J9" s="605" t="str">
        <f>IF(B9&lt;&gt;"x","No additional information required","Please enter the name of any other charter holder with identical membership.")</f>
        <v>No additional information required</v>
      </c>
      <c r="K9" s="605"/>
      <c r="L9" s="605"/>
      <c r="M9" s="608"/>
      <c r="N9" s="608"/>
      <c r="O9" s="415"/>
      <c r="Q9" s="150" t="s">
        <v>298</v>
      </c>
    </row>
    <row r="10" spans="1:29" ht="27.75" customHeight="1" thickBot="1">
      <c r="A10" s="238"/>
      <c r="B10" s="28"/>
      <c r="D10" s="605" t="s">
        <v>319</v>
      </c>
      <c r="E10" s="605"/>
      <c r="F10" s="605"/>
      <c r="G10" s="605"/>
      <c r="H10" s="605"/>
      <c r="I10" s="605"/>
      <c r="J10" s="605" t="str">
        <f>IF(B10&lt;&gt;"x","No additional information required","Please enter the name of the corporation.")</f>
        <v>No additional information required</v>
      </c>
      <c r="K10" s="605"/>
      <c r="L10" s="605"/>
      <c r="M10" s="608"/>
      <c r="N10" s="608"/>
      <c r="O10" s="415"/>
      <c r="Q10" s="150"/>
    </row>
    <row r="11" spans="1:29" ht="27.75" customHeight="1" thickBot="1">
      <c r="A11" s="238"/>
      <c r="B11" s="28"/>
      <c r="D11" s="626" t="s">
        <v>320</v>
      </c>
      <c r="E11" s="626"/>
      <c r="F11" s="626"/>
      <c r="G11" s="626"/>
      <c r="H11" s="626"/>
      <c r="I11" s="626"/>
      <c r="M11" s="405"/>
      <c r="N11" s="405"/>
      <c r="O11" s="405"/>
    </row>
    <row r="12" spans="1:29">
      <c r="A12" s="238"/>
      <c r="B12" s="238"/>
      <c r="C12" s="131"/>
      <c r="D12" s="131"/>
      <c r="E12" s="131"/>
      <c r="F12" s="131"/>
      <c r="G12" s="131"/>
      <c r="H12" s="131"/>
      <c r="I12" s="131"/>
      <c r="J12" s="131"/>
      <c r="K12" s="131"/>
      <c r="L12" s="131"/>
      <c r="M12" s="131"/>
      <c r="N12" s="131"/>
      <c r="O12" s="131"/>
    </row>
    <row r="13" spans="1:29">
      <c r="B13" s="94" t="s">
        <v>321</v>
      </c>
      <c r="C13" s="94"/>
      <c r="D13" s="94"/>
      <c r="E13" s="94"/>
    </row>
    <row r="14" spans="1:29" ht="80.25" customHeight="1">
      <c r="B14" s="588" t="s">
        <v>322</v>
      </c>
      <c r="C14" s="588"/>
      <c r="D14" s="588"/>
      <c r="E14" s="588"/>
      <c r="F14" s="588"/>
      <c r="G14" s="588"/>
      <c r="H14" s="588"/>
      <c r="I14" s="588"/>
      <c r="J14" s="588"/>
      <c r="K14" s="588"/>
      <c r="L14" s="588"/>
      <c r="M14" s="588"/>
      <c r="N14" s="588"/>
    </row>
    <row r="15" spans="1:29" ht="13.5" customHeight="1">
      <c r="B15" s="113"/>
      <c r="C15" s="113"/>
      <c r="D15" s="113"/>
      <c r="E15" s="113"/>
      <c r="F15" s="113"/>
      <c r="G15" s="113"/>
      <c r="H15" s="113"/>
      <c r="I15" s="113"/>
      <c r="J15" s="113"/>
      <c r="K15" s="113"/>
      <c r="L15" s="113"/>
      <c r="M15" s="113"/>
      <c r="N15" s="113"/>
    </row>
    <row r="16" spans="1:29">
      <c r="B16" s="614" t="s">
        <v>323</v>
      </c>
      <c r="C16" s="614"/>
      <c r="D16" s="614"/>
      <c r="E16" s="614"/>
      <c r="F16" s="530" t="s">
        <v>324</v>
      </c>
      <c r="G16" s="531"/>
      <c r="H16" s="530" t="s">
        <v>325</v>
      </c>
      <c r="I16" s="613"/>
      <c r="J16" s="531"/>
      <c r="K16" s="617" t="s">
        <v>326</v>
      </c>
      <c r="L16" s="618"/>
      <c r="M16" s="619"/>
    </row>
    <row r="17" spans="1:16">
      <c r="B17" s="627" t="s">
        <v>327</v>
      </c>
      <c r="C17" s="628"/>
      <c r="D17" s="628"/>
      <c r="E17" s="629"/>
      <c r="F17" s="630"/>
      <c r="G17" s="607"/>
      <c r="H17" s="358"/>
      <c r="I17" s="606">
        <v>293.5</v>
      </c>
      <c r="J17" s="607"/>
      <c r="K17" s="284"/>
      <c r="L17" s="606">
        <v>133</v>
      </c>
      <c r="M17" s="607"/>
      <c r="N17" s="197"/>
    </row>
    <row r="18" spans="1:16">
      <c r="B18" s="620" t="s">
        <v>328</v>
      </c>
      <c r="C18" s="621"/>
      <c r="D18" s="621"/>
      <c r="E18" s="622"/>
      <c r="F18" s="359"/>
      <c r="G18" s="360"/>
      <c r="H18" s="361" t="s">
        <v>329</v>
      </c>
      <c r="I18" s="611"/>
      <c r="J18" s="612"/>
      <c r="K18" s="411" t="s">
        <v>329</v>
      </c>
      <c r="L18" s="609"/>
      <c r="M18" s="610"/>
      <c r="N18" s="197"/>
    </row>
    <row r="19" spans="1:16">
      <c r="B19" s="620" t="s">
        <v>330</v>
      </c>
      <c r="C19" s="621"/>
      <c r="D19" s="621"/>
      <c r="E19" s="622"/>
      <c r="F19" s="359"/>
      <c r="G19" s="360"/>
      <c r="H19" s="361" t="s">
        <v>329</v>
      </c>
      <c r="I19" s="611"/>
      <c r="J19" s="612"/>
      <c r="K19" s="411" t="s">
        <v>329</v>
      </c>
      <c r="L19" s="609"/>
      <c r="M19" s="610"/>
    </row>
    <row r="20" spans="1:16">
      <c r="B20" s="623" t="s">
        <v>331</v>
      </c>
      <c r="C20" s="624"/>
      <c r="D20" s="624"/>
      <c r="E20" s="625"/>
      <c r="F20" s="75" t="s">
        <v>332</v>
      </c>
      <c r="G20" s="467">
        <f>F17</f>
        <v>0</v>
      </c>
      <c r="H20" s="420" t="s">
        <v>332</v>
      </c>
      <c r="I20" s="599">
        <f>I17+I18+I19</f>
        <v>293.5</v>
      </c>
      <c r="J20" s="600"/>
      <c r="K20" s="75" t="s">
        <v>332</v>
      </c>
      <c r="L20" s="599">
        <f>L17+L18+L19</f>
        <v>133</v>
      </c>
      <c r="M20" s="600"/>
    </row>
    <row r="22" spans="1:16">
      <c r="B22" s="94" t="s">
        <v>333</v>
      </c>
    </row>
    <row r="23" spans="1:16" ht="26.25" customHeight="1">
      <c r="B23" s="588" t="s">
        <v>334</v>
      </c>
      <c r="C23" s="588"/>
      <c r="D23" s="588"/>
      <c r="E23" s="588"/>
      <c r="F23" s="588"/>
      <c r="G23" s="588"/>
      <c r="H23" s="588"/>
      <c r="I23" s="588"/>
      <c r="J23" s="588"/>
      <c r="K23" s="588"/>
      <c r="L23" s="588"/>
      <c r="M23" s="588"/>
      <c r="N23" s="588"/>
    </row>
    <row r="24" spans="1:16">
      <c r="B24" s="362"/>
      <c r="C24" s="363"/>
      <c r="D24" s="363"/>
      <c r="E24" s="363"/>
      <c r="F24" s="363"/>
      <c r="G24" s="363"/>
      <c r="H24" s="363"/>
      <c r="I24" s="363"/>
      <c r="J24" s="363"/>
      <c r="K24" s="363"/>
      <c r="L24" s="363"/>
      <c r="M24" s="363"/>
    </row>
    <row r="25" spans="1:16">
      <c r="B25" s="419" t="s">
        <v>323</v>
      </c>
      <c r="C25" s="419"/>
      <c r="D25" s="419"/>
      <c r="E25" s="419"/>
      <c r="F25" s="530" t="s">
        <v>324</v>
      </c>
      <c r="G25" s="531"/>
      <c r="H25" s="530" t="s">
        <v>325</v>
      </c>
      <c r="I25" s="613"/>
      <c r="J25" s="531"/>
      <c r="K25" s="617" t="s">
        <v>326</v>
      </c>
      <c r="L25" s="618"/>
      <c r="M25" s="619"/>
    </row>
    <row r="26" spans="1:16">
      <c r="B26" s="420" t="s">
        <v>327</v>
      </c>
      <c r="C26" s="421"/>
      <c r="D26" s="422"/>
      <c r="F26" s="53"/>
      <c r="G26" s="468"/>
      <c r="I26" s="615"/>
      <c r="J26" s="616"/>
      <c r="K26" s="420"/>
      <c r="L26" s="615"/>
      <c r="M26" s="616"/>
      <c r="P26" s="39"/>
    </row>
    <row r="27" spans="1:16">
      <c r="B27" s="75" t="s">
        <v>328</v>
      </c>
      <c r="C27" s="235"/>
      <c r="D27" s="364"/>
      <c r="E27" s="365"/>
      <c r="F27" s="366"/>
      <c r="G27" s="367"/>
      <c r="H27" s="235" t="s">
        <v>329</v>
      </c>
      <c r="I27" s="611"/>
      <c r="J27" s="612"/>
      <c r="K27" s="75" t="s">
        <v>329</v>
      </c>
      <c r="L27" s="609"/>
      <c r="M27" s="610"/>
    </row>
    <row r="28" spans="1:16">
      <c r="B28" s="75" t="s">
        <v>330</v>
      </c>
      <c r="C28" s="235"/>
      <c r="D28" s="235"/>
      <c r="E28" s="368"/>
      <c r="F28" s="366"/>
      <c r="G28" s="367"/>
      <c r="H28" s="235" t="s">
        <v>329</v>
      </c>
      <c r="I28" s="611"/>
      <c r="J28" s="612"/>
      <c r="K28" s="75" t="s">
        <v>329</v>
      </c>
      <c r="L28" s="609"/>
      <c r="M28" s="610"/>
    </row>
    <row r="29" spans="1:16">
      <c r="B29" s="420" t="s">
        <v>331</v>
      </c>
      <c r="C29" s="421"/>
      <c r="D29" s="422"/>
      <c r="E29" s="420"/>
      <c r="F29" s="420" t="s">
        <v>332</v>
      </c>
      <c r="G29" s="467">
        <f>G26</f>
        <v>0</v>
      </c>
      <c r="H29" s="75" t="s">
        <v>332</v>
      </c>
      <c r="I29" s="599">
        <f>I26+I27+I28</f>
        <v>0</v>
      </c>
      <c r="J29" s="600"/>
      <c r="K29" s="75" t="s">
        <v>332</v>
      </c>
      <c r="L29" s="601">
        <f>L26+L27+L28</f>
        <v>0</v>
      </c>
      <c r="M29" s="602"/>
    </row>
    <row r="30" spans="1:16">
      <c r="B30" s="87"/>
    </row>
    <row r="31" spans="1:16">
      <c r="A31" s="369"/>
      <c r="B31" s="369"/>
      <c r="C31" s="370"/>
      <c r="D31" s="370"/>
      <c r="E31" s="371"/>
      <c r="F31" s="371"/>
      <c r="G31" s="370"/>
      <c r="H31" s="370"/>
      <c r="I31" s="372"/>
      <c r="K31" s="372"/>
    </row>
    <row r="32" spans="1:16" ht="15.75" customHeight="1">
      <c r="A32" s="373" t="s">
        <v>335</v>
      </c>
      <c r="C32" s="94"/>
      <c r="D32" s="94"/>
      <c r="E32" s="94"/>
      <c r="G32" s="374"/>
      <c r="H32" s="374"/>
      <c r="I32" s="374"/>
      <c r="J32" s="374"/>
      <c r="K32" s="374"/>
      <c r="L32" s="374"/>
      <c r="M32" s="374"/>
      <c r="N32" s="374"/>
      <c r="O32" s="374"/>
    </row>
    <row r="33" spans="1:21" ht="12.75" customHeight="1">
      <c r="A33" s="373"/>
      <c r="C33" s="94"/>
      <c r="D33" s="94"/>
      <c r="E33" s="94"/>
      <c r="G33" s="374"/>
      <c r="H33" s="374"/>
      <c r="I33" s="374"/>
      <c r="J33" s="374"/>
      <c r="K33" s="374"/>
      <c r="L33" s="374"/>
      <c r="M33" s="374"/>
      <c r="N33" s="374"/>
      <c r="O33" s="374"/>
    </row>
    <row r="34" spans="1:21" ht="12.75" customHeight="1">
      <c r="A34" s="373"/>
      <c r="B34" s="94" t="s">
        <v>336</v>
      </c>
      <c r="C34" s="94"/>
      <c r="D34" s="94"/>
      <c r="E34" s="94"/>
      <c r="G34" s="374"/>
      <c r="H34" s="374"/>
      <c r="I34" s="374"/>
      <c r="J34" s="374"/>
      <c r="K34" s="374"/>
      <c r="L34" s="374"/>
      <c r="M34" s="374"/>
      <c r="N34" s="374"/>
      <c r="O34" s="374"/>
    </row>
    <row r="35" spans="1:21" ht="137.25" customHeight="1">
      <c r="A35" s="94"/>
      <c r="B35" s="588" t="s">
        <v>337</v>
      </c>
      <c r="C35" s="588"/>
      <c r="D35" s="588"/>
      <c r="E35" s="588"/>
      <c r="F35" s="588"/>
      <c r="G35" s="588"/>
      <c r="H35" s="588"/>
      <c r="I35" s="588"/>
      <c r="J35" s="588"/>
      <c r="K35" s="588"/>
      <c r="L35" s="588"/>
      <c r="M35" s="588"/>
      <c r="N35" s="588"/>
      <c r="O35" s="374"/>
    </row>
    <row r="36" spans="1:21" ht="12.75" customHeight="1">
      <c r="A36" s="94"/>
      <c r="B36" s="412"/>
      <c r="C36" s="412"/>
      <c r="D36" s="412"/>
      <c r="E36" s="412"/>
      <c r="F36" s="412"/>
      <c r="G36" s="412"/>
      <c r="H36" s="412"/>
      <c r="I36" s="412"/>
      <c r="J36" s="412"/>
      <c r="K36" s="412"/>
      <c r="L36" s="412"/>
      <c r="M36" s="412"/>
      <c r="N36" s="412"/>
      <c r="O36" s="374"/>
    </row>
    <row r="37" spans="1:21" ht="51.75" customHeight="1">
      <c r="B37" s="375"/>
      <c r="C37" s="362"/>
      <c r="D37" s="362"/>
      <c r="E37" s="362"/>
      <c r="I37" s="424" t="s">
        <v>327</v>
      </c>
      <c r="J37" s="424" t="s">
        <v>338</v>
      </c>
      <c r="K37" s="603" t="s">
        <v>339</v>
      </c>
      <c r="L37" s="604"/>
      <c r="M37" s="376"/>
      <c r="O37" s="376"/>
      <c r="P37" s="376"/>
      <c r="R37" s="376"/>
      <c r="S37" s="376"/>
      <c r="U37" s="139"/>
    </row>
    <row r="38" spans="1:21">
      <c r="A38" s="407"/>
      <c r="B38" s="407">
        <v>1</v>
      </c>
      <c r="C38" s="148" t="s">
        <v>340</v>
      </c>
      <c r="I38" s="32">
        <v>99.5</v>
      </c>
      <c r="J38" s="33"/>
      <c r="K38" s="592"/>
      <c r="L38" s="593"/>
      <c r="M38" s="378"/>
      <c r="N38" s="108"/>
      <c r="O38" s="374"/>
      <c r="P38" s="378"/>
      <c r="R38" s="374"/>
      <c r="S38" s="378"/>
    </row>
    <row r="39" spans="1:21">
      <c r="A39" s="407"/>
      <c r="B39" s="407">
        <v>2</v>
      </c>
      <c r="C39" s="148" t="s">
        <v>341</v>
      </c>
      <c r="I39" s="32">
        <v>99.5</v>
      </c>
      <c r="J39" s="33"/>
      <c r="K39" s="592"/>
      <c r="L39" s="593"/>
      <c r="M39" s="378"/>
      <c r="N39" s="108"/>
      <c r="O39" s="374"/>
      <c r="P39" s="378"/>
      <c r="R39" s="374"/>
      <c r="S39" s="378"/>
    </row>
    <row r="40" spans="1:21">
      <c r="A40" s="407"/>
      <c r="B40" s="407">
        <v>3</v>
      </c>
      <c r="C40" s="148" t="s">
        <v>342</v>
      </c>
      <c r="I40" s="32">
        <v>70</v>
      </c>
      <c r="J40" s="33"/>
      <c r="K40" s="592"/>
      <c r="L40" s="593"/>
      <c r="M40" s="378"/>
      <c r="N40" s="108"/>
      <c r="O40" s="374"/>
      <c r="P40" s="378"/>
      <c r="R40" s="374"/>
      <c r="S40" s="378"/>
    </row>
    <row r="41" spans="1:21">
      <c r="A41" s="407"/>
      <c r="B41" s="407">
        <v>4</v>
      </c>
      <c r="C41" s="148" t="s">
        <v>343</v>
      </c>
      <c r="I41" s="32"/>
      <c r="J41" s="33"/>
      <c r="K41" s="592"/>
      <c r="L41" s="593"/>
      <c r="M41" s="378"/>
      <c r="N41" s="108"/>
      <c r="O41" s="374"/>
      <c r="P41" s="378"/>
      <c r="R41" s="374"/>
      <c r="S41" s="378"/>
    </row>
    <row r="42" spans="1:21">
      <c r="A42" s="407"/>
      <c r="B42" s="407">
        <v>5</v>
      </c>
      <c r="C42" s="148" t="s">
        <v>344</v>
      </c>
      <c r="I42" s="32"/>
      <c r="J42" s="33"/>
      <c r="K42" s="592"/>
      <c r="L42" s="593"/>
      <c r="M42" s="378"/>
      <c r="N42" s="108"/>
      <c r="O42" s="374"/>
      <c r="P42" s="378"/>
      <c r="R42" s="374"/>
      <c r="S42" s="378"/>
    </row>
    <row r="43" spans="1:21">
      <c r="A43" s="407"/>
      <c r="B43" s="407">
        <v>6</v>
      </c>
      <c r="C43" s="148" t="s">
        <v>345</v>
      </c>
      <c r="I43" s="32"/>
      <c r="J43" s="33"/>
      <c r="K43" s="592"/>
      <c r="L43" s="593"/>
      <c r="M43" s="378"/>
      <c r="N43" s="108"/>
      <c r="O43" s="374"/>
      <c r="P43" s="378"/>
      <c r="R43" s="374"/>
      <c r="S43" s="378"/>
    </row>
    <row r="44" spans="1:21">
      <c r="A44" s="407"/>
      <c r="B44" s="407">
        <v>7</v>
      </c>
      <c r="C44" s="148" t="s">
        <v>346</v>
      </c>
      <c r="I44" s="32"/>
      <c r="J44" s="33"/>
      <c r="K44" s="592"/>
      <c r="L44" s="593"/>
      <c r="M44" s="378"/>
      <c r="N44" s="108"/>
      <c r="O44" s="374"/>
      <c r="P44" s="378"/>
      <c r="R44" s="374"/>
      <c r="S44" s="378"/>
    </row>
    <row r="45" spans="1:21">
      <c r="A45" s="407"/>
      <c r="B45" s="407">
        <v>8</v>
      </c>
      <c r="C45" s="148" t="s">
        <v>347</v>
      </c>
      <c r="I45" s="32"/>
      <c r="J45" s="33"/>
      <c r="K45" s="592"/>
      <c r="L45" s="593"/>
      <c r="M45" s="378"/>
      <c r="N45" s="108"/>
      <c r="O45" s="374"/>
      <c r="P45" s="378"/>
      <c r="R45" s="374"/>
      <c r="S45" s="378"/>
    </row>
    <row r="46" spans="1:21">
      <c r="A46" s="407"/>
      <c r="B46" s="407">
        <v>9</v>
      </c>
      <c r="C46" s="148" t="s">
        <v>348</v>
      </c>
      <c r="I46" s="32">
        <v>1</v>
      </c>
      <c r="J46" s="33"/>
      <c r="K46" s="592"/>
      <c r="L46" s="593"/>
      <c r="M46" s="378"/>
      <c r="N46" s="108"/>
      <c r="O46" s="374"/>
      <c r="P46" s="378"/>
      <c r="R46" s="374"/>
      <c r="S46" s="378"/>
    </row>
    <row r="47" spans="1:21">
      <c r="A47" s="407"/>
      <c r="B47" s="407">
        <v>10</v>
      </c>
      <c r="C47" s="148" t="s">
        <v>349</v>
      </c>
      <c r="I47" s="32"/>
      <c r="J47" s="379"/>
      <c r="K47" s="597"/>
      <c r="L47" s="598"/>
      <c r="M47" s="378"/>
      <c r="N47" s="108"/>
      <c r="O47" s="374"/>
      <c r="P47" s="378"/>
      <c r="R47" s="374"/>
      <c r="S47" s="378"/>
    </row>
    <row r="48" spans="1:21">
      <c r="A48" s="407"/>
      <c r="B48" s="407">
        <v>11</v>
      </c>
      <c r="C48" s="148" t="s">
        <v>350</v>
      </c>
      <c r="I48" s="32">
        <v>49</v>
      </c>
      <c r="J48" s="33"/>
      <c r="K48" s="592"/>
      <c r="L48" s="593"/>
      <c r="M48" s="378"/>
      <c r="N48" s="108"/>
      <c r="O48" s="374"/>
      <c r="P48" s="378"/>
      <c r="R48" s="374"/>
      <c r="S48" s="378"/>
    </row>
    <row r="49" spans="1:19">
      <c r="A49" s="407"/>
      <c r="B49" s="407">
        <v>12</v>
      </c>
      <c r="C49" s="148" t="s">
        <v>351</v>
      </c>
      <c r="I49" s="32">
        <v>1</v>
      </c>
      <c r="J49" s="33"/>
      <c r="K49" s="592"/>
      <c r="L49" s="593"/>
      <c r="M49" s="378"/>
      <c r="N49" s="108"/>
      <c r="O49" s="374"/>
      <c r="P49" s="378"/>
      <c r="R49" s="374"/>
      <c r="S49" s="378"/>
    </row>
    <row r="50" spans="1:19">
      <c r="A50" s="407"/>
      <c r="B50" s="407">
        <v>13</v>
      </c>
      <c r="C50" s="148" t="s">
        <v>352</v>
      </c>
      <c r="I50" s="32"/>
      <c r="J50" s="33"/>
      <c r="K50" s="592"/>
      <c r="L50" s="593"/>
      <c r="M50" s="378"/>
      <c r="N50" s="108"/>
      <c r="O50" s="374"/>
      <c r="P50" s="378"/>
      <c r="R50" s="374"/>
      <c r="S50" s="378"/>
    </row>
    <row r="51" spans="1:19">
      <c r="A51" s="407"/>
      <c r="B51" s="407">
        <v>14</v>
      </c>
      <c r="C51" s="148" t="s">
        <v>353</v>
      </c>
      <c r="I51" s="32"/>
      <c r="J51" s="33"/>
      <c r="K51" s="592"/>
      <c r="L51" s="593"/>
      <c r="M51" s="378"/>
      <c r="N51" s="108"/>
      <c r="O51" s="374"/>
      <c r="P51" s="378"/>
      <c r="R51" s="374"/>
      <c r="S51" s="378"/>
    </row>
    <row r="52" spans="1:19">
      <c r="A52" s="407"/>
      <c r="B52" s="407">
        <v>15</v>
      </c>
      <c r="C52" s="380" t="s">
        <v>354</v>
      </c>
      <c r="D52" s="197"/>
      <c r="E52" s="197"/>
      <c r="I52" s="32"/>
      <c r="J52" s="33"/>
      <c r="K52" s="592"/>
      <c r="L52" s="593"/>
      <c r="M52" s="378"/>
      <c r="N52" s="108"/>
      <c r="O52" s="374"/>
      <c r="P52" s="378"/>
      <c r="R52" s="374"/>
      <c r="S52" s="378"/>
    </row>
    <row r="53" spans="1:19">
      <c r="A53" s="407"/>
      <c r="B53" s="407">
        <v>16</v>
      </c>
      <c r="C53" s="124" t="s">
        <v>559</v>
      </c>
      <c r="D53" s="124"/>
      <c r="E53" s="124"/>
      <c r="F53" s="124"/>
      <c r="G53" s="124"/>
      <c r="I53" s="32">
        <v>397</v>
      </c>
      <c r="J53" s="33"/>
      <c r="K53" s="592"/>
      <c r="L53" s="593"/>
      <c r="M53" s="378"/>
      <c r="N53" s="108"/>
      <c r="O53" s="108"/>
      <c r="P53" s="378"/>
      <c r="R53" s="378"/>
      <c r="S53" s="378"/>
    </row>
    <row r="54" spans="1:19">
      <c r="A54" s="407"/>
      <c r="B54" s="407">
        <v>17</v>
      </c>
      <c r="C54" t="s">
        <v>355</v>
      </c>
      <c r="D54" s="197"/>
      <c r="E54" s="197"/>
      <c r="I54" s="377">
        <f>SUM(I38:I53)</f>
        <v>717</v>
      </c>
      <c r="J54" s="381">
        <f>SUM(J38:J53)</f>
        <v>0</v>
      </c>
      <c r="K54" s="594">
        <f>SUM(K38:K53)</f>
        <v>0</v>
      </c>
      <c r="L54" s="595"/>
      <c r="M54" s="378"/>
      <c r="N54" s="108"/>
      <c r="O54" s="108"/>
      <c r="P54" s="378"/>
      <c r="R54" s="378"/>
      <c r="S54" s="378"/>
    </row>
    <row r="55" spans="1:19" ht="14.25" customHeight="1">
      <c r="A55" s="407"/>
      <c r="B55" s="382" t="s">
        <v>356</v>
      </c>
      <c r="C55" s="148" t="s">
        <v>357</v>
      </c>
      <c r="D55" s="148"/>
      <c r="E55" s="148"/>
      <c r="F55" s="148"/>
      <c r="G55" s="148"/>
      <c r="H55" s="148"/>
      <c r="I55" s="383"/>
      <c r="J55" s="384"/>
      <c r="K55" s="385"/>
      <c r="L55" s="385"/>
      <c r="M55" s="386"/>
      <c r="N55" s="387"/>
      <c r="O55" s="108"/>
      <c r="P55" s="378"/>
      <c r="R55" s="378"/>
      <c r="S55" s="378"/>
    </row>
    <row r="56" spans="1:19" ht="14.25" customHeight="1">
      <c r="A56" s="407"/>
      <c r="B56" s="382" t="s">
        <v>358</v>
      </c>
      <c r="C56" s="148" t="s">
        <v>359</v>
      </c>
      <c r="D56" s="148"/>
      <c r="E56" s="148"/>
      <c r="F56" s="148"/>
      <c r="G56" s="148"/>
      <c r="H56" s="148"/>
      <c r="I56" s="383"/>
      <c r="J56" s="384"/>
      <c r="K56" s="385"/>
      <c r="L56" s="385"/>
      <c r="M56" s="386"/>
      <c r="N56" s="387"/>
      <c r="O56" s="108"/>
      <c r="P56" s="378"/>
      <c r="R56" s="378"/>
      <c r="S56" s="378"/>
    </row>
    <row r="57" spans="1:19">
      <c r="A57" s="407"/>
      <c r="B57" s="382" t="s">
        <v>360</v>
      </c>
      <c r="C57" s="539" t="s">
        <v>361</v>
      </c>
      <c r="D57" s="539"/>
      <c r="E57" s="539"/>
      <c r="F57" s="539"/>
      <c r="G57" s="539"/>
      <c r="H57" s="539"/>
      <c r="I57" s="539"/>
      <c r="J57" s="539"/>
      <c r="K57" s="539"/>
      <c r="L57" s="539"/>
      <c r="M57" s="539"/>
      <c r="N57" s="539"/>
      <c r="O57" s="108"/>
      <c r="P57" s="378"/>
      <c r="R57" s="378"/>
      <c r="S57" s="378"/>
    </row>
    <row r="58" spans="1:19">
      <c r="A58" s="407"/>
      <c r="B58" s="275"/>
      <c r="C58" s="539"/>
      <c r="D58" s="539"/>
      <c r="E58" s="539"/>
      <c r="F58" s="539"/>
      <c r="G58" s="539"/>
      <c r="H58" s="539"/>
      <c r="I58" s="539"/>
      <c r="J58" s="539"/>
      <c r="K58" s="539"/>
      <c r="L58" s="539"/>
      <c r="M58" s="539"/>
      <c r="N58" s="539"/>
      <c r="O58" s="108"/>
      <c r="P58" s="378"/>
      <c r="R58" s="378"/>
      <c r="S58" s="378"/>
    </row>
    <row r="59" spans="1:19" ht="40.700000000000003" customHeight="1">
      <c r="A59" s="407"/>
      <c r="B59" s="382" t="s">
        <v>362</v>
      </c>
      <c r="C59" s="539" t="s">
        <v>536</v>
      </c>
      <c r="D59" s="539"/>
      <c r="E59" s="539"/>
      <c r="F59" s="539"/>
      <c r="G59" s="539"/>
      <c r="H59" s="539"/>
      <c r="I59" s="539"/>
      <c r="J59" s="539"/>
      <c r="K59" s="539"/>
      <c r="L59" s="539"/>
      <c r="M59" s="539"/>
      <c r="N59" s="539"/>
      <c r="O59" s="539"/>
      <c r="P59" s="378"/>
      <c r="R59" s="378"/>
      <c r="S59" s="378"/>
    </row>
    <row r="60" spans="1:19" ht="12" customHeight="1">
      <c r="B60" s="382" t="s">
        <v>363</v>
      </c>
      <c r="C60" s="596" t="s">
        <v>364</v>
      </c>
      <c r="D60" s="596"/>
      <c r="E60" s="596"/>
      <c r="F60" s="596"/>
      <c r="G60" s="596"/>
      <c r="H60" s="596"/>
      <c r="I60" s="596"/>
      <c r="J60" s="596"/>
      <c r="K60" s="596"/>
      <c r="L60" s="596"/>
      <c r="M60" s="596"/>
      <c r="N60" s="596"/>
      <c r="O60" s="388"/>
      <c r="P60" s="388"/>
      <c r="Q60" s="388"/>
      <c r="R60" s="388"/>
      <c r="S60" s="388"/>
    </row>
    <row r="61" spans="1:19" ht="15.75">
      <c r="A61" s="373"/>
      <c r="C61" s="596"/>
      <c r="D61" s="596"/>
      <c r="E61" s="596"/>
      <c r="F61" s="596"/>
      <c r="G61" s="596"/>
      <c r="H61" s="596"/>
      <c r="I61" s="596"/>
      <c r="J61" s="596"/>
      <c r="K61" s="596"/>
      <c r="L61" s="596"/>
      <c r="M61" s="596"/>
      <c r="N61" s="596"/>
      <c r="O61" s="388"/>
      <c r="P61" s="388"/>
      <c r="Q61" s="388"/>
      <c r="R61" s="388"/>
      <c r="S61" s="388"/>
    </row>
    <row r="62" spans="1:19" ht="15.75">
      <c r="A62" s="373"/>
      <c r="C62" s="389"/>
      <c r="D62" s="389"/>
      <c r="E62" s="389"/>
      <c r="F62" s="389"/>
      <c r="G62" s="389"/>
      <c r="H62" s="389"/>
      <c r="I62" s="389"/>
      <c r="J62" s="389"/>
      <c r="K62" s="389"/>
      <c r="L62" s="389"/>
      <c r="M62" s="389"/>
      <c r="N62" s="389"/>
      <c r="O62" s="389"/>
      <c r="P62" s="389"/>
      <c r="Q62" s="388"/>
      <c r="R62" s="388"/>
      <c r="S62" s="388"/>
    </row>
    <row r="63" spans="1:19" ht="16.5" thickBot="1">
      <c r="A63" s="373" t="s">
        <v>365</v>
      </c>
    </row>
    <row r="64" spans="1:19" ht="13.5" thickBot="1">
      <c r="B64" s="390">
        <v>1</v>
      </c>
      <c r="C64" s="29"/>
      <c r="D64" s="505" t="s">
        <v>366</v>
      </c>
      <c r="E64" s="505"/>
      <c r="F64" s="505"/>
      <c r="G64" s="505"/>
      <c r="H64" s="505"/>
      <c r="I64" s="505"/>
      <c r="J64" s="505"/>
      <c r="K64" s="505"/>
      <c r="L64" s="505"/>
      <c r="M64" s="425"/>
      <c r="N64" s="391"/>
      <c r="O64" s="370"/>
      <c r="P64" s="370"/>
    </row>
    <row r="65" spans="1:14" ht="78" customHeight="1">
      <c r="B65" s="390"/>
      <c r="C65" s="588" t="s">
        <v>550</v>
      </c>
      <c r="D65" s="588"/>
      <c r="E65" s="588"/>
      <c r="F65" s="588"/>
      <c r="G65" s="588"/>
      <c r="H65" s="588"/>
      <c r="I65" s="588"/>
      <c r="J65" s="588"/>
      <c r="M65" s="425"/>
      <c r="N65" s="391"/>
    </row>
    <row r="66" spans="1:14">
      <c r="B66" s="390"/>
      <c r="C66" s="137"/>
      <c r="D66" s="137"/>
      <c r="E66" s="137"/>
      <c r="F66" s="137"/>
      <c r="G66" s="137"/>
      <c r="H66" s="137"/>
      <c r="M66" s="425"/>
      <c r="N66" s="391"/>
    </row>
    <row r="67" spans="1:14">
      <c r="B67" s="390">
        <v>2</v>
      </c>
      <c r="C67" t="s">
        <v>367</v>
      </c>
      <c r="M67" s="425" t="s">
        <v>8</v>
      </c>
      <c r="N67" s="30"/>
    </row>
    <row r="68" spans="1:14" ht="138.75" customHeight="1">
      <c r="B68" s="390"/>
      <c r="C68" s="588" t="s">
        <v>368</v>
      </c>
      <c r="D68" s="588"/>
      <c r="E68" s="588"/>
      <c r="F68" s="588"/>
      <c r="G68" s="588"/>
      <c r="H68" s="588"/>
      <c r="I68" s="588"/>
      <c r="J68" s="588"/>
      <c r="M68" s="425"/>
      <c r="N68" s="391"/>
    </row>
    <row r="69" spans="1:14" ht="165" customHeight="1">
      <c r="B69" s="390"/>
      <c r="C69" s="588" t="s">
        <v>369</v>
      </c>
      <c r="D69" s="588"/>
      <c r="E69" s="588"/>
      <c r="F69" s="588"/>
      <c r="G69" s="588"/>
      <c r="H69" s="588"/>
      <c r="I69" s="588"/>
      <c r="J69" s="588"/>
      <c r="K69" s="113"/>
      <c r="L69" s="113"/>
      <c r="M69" s="425"/>
      <c r="N69" s="391"/>
    </row>
    <row r="70" spans="1:14">
      <c r="B70" s="390"/>
      <c r="C70" s="137"/>
      <c r="D70" s="137"/>
      <c r="E70" s="137"/>
      <c r="F70" s="137"/>
      <c r="G70" s="137"/>
      <c r="H70" s="137"/>
      <c r="M70" s="425"/>
      <c r="N70" s="391"/>
    </row>
    <row r="71" spans="1:14">
      <c r="B71" s="390">
        <v>3</v>
      </c>
      <c r="C71" t="s">
        <v>370</v>
      </c>
      <c r="M71" s="425" t="s">
        <v>8</v>
      </c>
      <c r="N71" s="30">
        <v>23000</v>
      </c>
    </row>
    <row r="72" spans="1:14" ht="98.25" customHeight="1">
      <c r="B72" s="390"/>
      <c r="C72" s="588" t="s">
        <v>371</v>
      </c>
      <c r="D72" s="588"/>
      <c r="E72" s="588"/>
      <c r="F72" s="588"/>
      <c r="G72" s="588"/>
      <c r="H72" s="588"/>
      <c r="I72" s="588"/>
      <c r="J72" s="588"/>
      <c r="M72" s="425"/>
      <c r="N72" s="391"/>
    </row>
    <row r="73" spans="1:14">
      <c r="B73" s="390"/>
      <c r="C73" s="137"/>
      <c r="D73" s="137"/>
      <c r="E73" s="137"/>
      <c r="F73" s="137"/>
      <c r="M73" s="425"/>
      <c r="N73" s="391"/>
    </row>
    <row r="74" spans="1:14" ht="14.25" customHeight="1">
      <c r="B74" s="220">
        <v>4</v>
      </c>
      <c r="C74" t="s">
        <v>372</v>
      </c>
      <c r="M74" s="425" t="s">
        <v>8</v>
      </c>
      <c r="N74" s="30"/>
    </row>
    <row r="75" spans="1:14" ht="53.25" customHeight="1">
      <c r="C75" s="588" t="s">
        <v>373</v>
      </c>
      <c r="D75" s="588"/>
      <c r="E75" s="588"/>
      <c r="F75" s="588"/>
      <c r="G75" s="588"/>
      <c r="H75" s="588"/>
      <c r="I75" s="588"/>
      <c r="J75" s="588"/>
    </row>
    <row r="76" spans="1:14">
      <c r="C76" s="415"/>
      <c r="D76" s="415"/>
      <c r="E76" s="415"/>
      <c r="F76" s="415"/>
      <c r="G76" s="415"/>
      <c r="H76" s="415"/>
      <c r="I76" s="415"/>
      <c r="J76" s="415"/>
    </row>
    <row r="77" spans="1:14" s="197" customFormat="1">
      <c r="B77" s="220">
        <v>5</v>
      </c>
      <c r="C77" t="s">
        <v>374</v>
      </c>
      <c r="M77" s="425" t="s">
        <v>8</v>
      </c>
      <c r="N77" s="30"/>
    </row>
    <row r="78" spans="1:14" s="197" customFormat="1" ht="85.5" customHeight="1">
      <c r="C78" s="588" t="s">
        <v>375</v>
      </c>
      <c r="D78" s="588"/>
      <c r="E78" s="588"/>
      <c r="F78" s="588"/>
      <c r="G78" s="588"/>
      <c r="H78" s="588"/>
      <c r="I78" s="588"/>
      <c r="J78" s="588"/>
    </row>
    <row r="79" spans="1:14" ht="13.5" customHeight="1"/>
    <row r="80" spans="1:14" ht="15.75">
      <c r="A80" s="590" t="s">
        <v>376</v>
      </c>
      <c r="B80" s="591"/>
      <c r="C80" s="591"/>
      <c r="D80" s="591"/>
      <c r="E80" s="591"/>
      <c r="F80" s="591"/>
      <c r="G80" s="591"/>
      <c r="H80" s="591"/>
      <c r="I80" s="591"/>
      <c r="J80" s="591"/>
      <c r="K80" s="591"/>
      <c r="L80" s="591"/>
      <c r="M80" s="591"/>
      <c r="N80" s="591"/>
    </row>
    <row r="82" spans="1:16">
      <c r="B82" s="390">
        <v>1</v>
      </c>
      <c r="C82" t="s">
        <v>377</v>
      </c>
      <c r="M82" s="425"/>
      <c r="N82" s="34">
        <v>4.0999999999999999E-4</v>
      </c>
    </row>
    <row r="83" spans="1:16" ht="57" customHeight="1">
      <c r="C83" s="588" t="s">
        <v>378</v>
      </c>
      <c r="D83" s="588"/>
      <c r="E83" s="588"/>
      <c r="F83" s="588"/>
      <c r="G83" s="588"/>
      <c r="H83" s="588"/>
      <c r="I83" s="588"/>
      <c r="J83" s="588"/>
    </row>
    <row r="84" spans="1:16">
      <c r="C84" s="143"/>
      <c r="D84" s="143"/>
      <c r="E84" s="143"/>
      <c r="F84" s="143"/>
      <c r="G84" s="143"/>
      <c r="H84" s="143"/>
      <c r="I84" s="143"/>
      <c r="J84" s="143"/>
    </row>
    <row r="85" spans="1:16" ht="15.75" customHeight="1">
      <c r="A85" s="589" t="s">
        <v>561</v>
      </c>
      <c r="B85" s="589"/>
      <c r="C85" s="589"/>
      <c r="D85" s="589"/>
      <c r="E85" s="589"/>
      <c r="F85" s="589"/>
      <c r="G85" s="589"/>
      <c r="H85" s="589"/>
      <c r="I85" s="589"/>
      <c r="J85" s="589"/>
      <c r="K85" s="589"/>
      <c r="L85" s="589"/>
      <c r="M85" s="589"/>
      <c r="N85" s="589"/>
      <c r="O85" s="589"/>
      <c r="P85" s="589"/>
    </row>
    <row r="87" spans="1:16">
      <c r="B87" s="390">
        <v>1</v>
      </c>
      <c r="C87" t="s">
        <v>556</v>
      </c>
      <c r="M87" s="425" t="s">
        <v>8</v>
      </c>
      <c r="N87" s="30"/>
    </row>
    <row r="88" spans="1:16" ht="72.75" customHeight="1">
      <c r="C88" s="588" t="s">
        <v>563</v>
      </c>
      <c r="D88" s="588"/>
      <c r="E88" s="588"/>
      <c r="F88" s="588"/>
      <c r="G88" s="588"/>
      <c r="H88" s="588"/>
      <c r="I88" s="588"/>
      <c r="J88" s="588"/>
    </row>
    <row r="90" spans="1:16" ht="15.75" customHeight="1">
      <c r="A90" s="589" t="s">
        <v>562</v>
      </c>
      <c r="B90" s="589"/>
      <c r="C90" s="589"/>
      <c r="D90" s="589"/>
      <c r="E90" s="589"/>
      <c r="F90" s="589"/>
      <c r="G90" s="589"/>
      <c r="H90" s="589"/>
      <c r="I90" s="589"/>
      <c r="J90" s="589"/>
      <c r="K90" s="589"/>
      <c r="L90" s="589"/>
      <c r="M90" s="589"/>
      <c r="N90" s="589"/>
      <c r="O90" s="589"/>
    </row>
    <row r="92" spans="1:16">
      <c r="B92" s="390">
        <v>1</v>
      </c>
      <c r="C92" t="s">
        <v>557</v>
      </c>
      <c r="M92" s="425" t="s">
        <v>8</v>
      </c>
      <c r="N92" s="30"/>
    </row>
    <row r="93" spans="1:16" ht="82.5" customHeight="1">
      <c r="C93" s="588" t="s">
        <v>564</v>
      </c>
      <c r="D93" s="588"/>
      <c r="E93" s="588"/>
      <c r="F93" s="588"/>
      <c r="G93" s="588"/>
      <c r="H93" s="588"/>
      <c r="I93" s="588"/>
      <c r="J93" s="588"/>
    </row>
  </sheetData>
  <sheetProtection sheet="1" formatColumns="0" formatRows="0"/>
  <mergeCells count="78">
    <mergeCell ref="M8:N8"/>
    <mergeCell ref="M9:N9"/>
    <mergeCell ref="L19:M19"/>
    <mergeCell ref="B18:E18"/>
    <mergeCell ref="B20:E20"/>
    <mergeCell ref="D8:I8"/>
    <mergeCell ref="D9:I9"/>
    <mergeCell ref="D10:I10"/>
    <mergeCell ref="K16:M16"/>
    <mergeCell ref="D11:I11"/>
    <mergeCell ref="I20:J20"/>
    <mergeCell ref="B17:E17"/>
    <mergeCell ref="B19:E19"/>
    <mergeCell ref="I19:J19"/>
    <mergeCell ref="F17:G17"/>
    <mergeCell ref="I26:J26"/>
    <mergeCell ref="H25:J25"/>
    <mergeCell ref="K25:M25"/>
    <mergeCell ref="B23:N23"/>
    <mergeCell ref="B35:N35"/>
    <mergeCell ref="L27:M27"/>
    <mergeCell ref="L28:M28"/>
    <mergeCell ref="I27:J27"/>
    <mergeCell ref="I28:J28"/>
    <mergeCell ref="L26:M26"/>
    <mergeCell ref="F25:G25"/>
    <mergeCell ref="Q4:AC4"/>
    <mergeCell ref="L20:M20"/>
    <mergeCell ref="J8:L8"/>
    <mergeCell ref="J9:L9"/>
    <mergeCell ref="J10:L10"/>
    <mergeCell ref="L17:M17"/>
    <mergeCell ref="M10:N10"/>
    <mergeCell ref="L18:M18"/>
    <mergeCell ref="M7:N7"/>
    <mergeCell ref="I17:J17"/>
    <mergeCell ref="I18:J18"/>
    <mergeCell ref="H16:J16"/>
    <mergeCell ref="B6:N6"/>
    <mergeCell ref="B14:N14"/>
    <mergeCell ref="F16:G16"/>
    <mergeCell ref="B16:E16"/>
    <mergeCell ref="C65:J65"/>
    <mergeCell ref="K47:L47"/>
    <mergeCell ref="K42:L42"/>
    <mergeCell ref="K41:L41"/>
    <mergeCell ref="I29:J29"/>
    <mergeCell ref="K44:L44"/>
    <mergeCell ref="C57:N58"/>
    <mergeCell ref="L29:M29"/>
    <mergeCell ref="K38:L38"/>
    <mergeCell ref="K48:L48"/>
    <mergeCell ref="K43:L43"/>
    <mergeCell ref="K37:L37"/>
    <mergeCell ref="K46:L46"/>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 ref="C68:J68"/>
    <mergeCell ref="K49:L49"/>
    <mergeCell ref="C88:J88"/>
    <mergeCell ref="C93:J93"/>
    <mergeCell ref="A90:O90"/>
    <mergeCell ref="A85:P85"/>
    <mergeCell ref="C78:J78"/>
    <mergeCell ref="C83:J83"/>
    <mergeCell ref="A80:N80"/>
  </mergeCells>
  <dataValidations count="4">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 allowBlank="1" showInputMessage="1" showErrorMessage="1" prompt="Leave blank for budget adoption." sqref="N87 N92" xr:uid="{8A3A7C8C-0FEA-4FFE-9A61-F4A08B02B771}"/>
  </dataValidations>
  <pageMargins left="0.7" right="0.7" top="0.75" bottom="0.75" header="0.3" footer="0.3"/>
  <pageSetup scale="61" fitToHeight="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588712f8-bc12-4b67-b29b-a9d0f63287e2"/>
    <ds:schemaRef ds:uri="d7c5e3bf-8d4c-41de-aaa1-f4451f02d99d"/>
  </ds:schemaRefs>
</ds:datastoreItem>
</file>

<file path=customXml/itemProps3.xml><?xml version="1.0" encoding="utf-8"?>
<ds:datastoreItem xmlns:ds="http://schemas.openxmlformats.org/officeDocument/2006/customXml" ds:itemID="{A5ACB222-ABD1-4174-8283-3395F59AC8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325</vt:i4>
      </vt:variant>
    </vt:vector>
  </HeadingPairs>
  <TitlesOfParts>
    <vt:vector size="337"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'Project balances'!Print_Area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dcterms:created xsi:type="dcterms:W3CDTF">1997-10-07T12:25:08Z</dcterms:created>
  <dcterms:modified xsi:type="dcterms:W3CDTF">2024-07-02T15:17:50Z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B7591CB0-FE43-427D-917A-94FAF77F73D0</vt:lpwstr>
  </property>
  <property fmtid="{D5CDD505-2E9C-101B-9397-08002B2CF9AE}" pid="8" name="MediaServiceImageTags">
    <vt:lpwstr/>
  </property>
</Properties>
</file>